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ger House\Documents\CAS HH\Aircraft\N40729\Marketing Sales\"/>
    </mc:Choice>
  </mc:AlternateContent>
  <xr:revisionPtr revIDLastSave="0" documentId="13_ncr:1_{99814A15-8593-46B9-94A2-813AD6210971}" xr6:coauthVersionLast="47" xr6:coauthVersionMax="47" xr10:uidLastSave="{00000000-0000-0000-0000-000000000000}"/>
  <bookViews>
    <workbookView xWindow="-120" yWindow="-120" windowWidth="19440" windowHeight="10590" tabRatio="511" xr2:uid="{00000000-000D-0000-FFFF-FFFF00000000}"/>
  </bookViews>
  <sheets>
    <sheet name="Page 1" sheetId="1" r:id="rId1"/>
    <sheet name="Chart1" sheetId="6" r:id="rId2"/>
    <sheet name="Cost" sheetId="2" r:id="rId3"/>
    <sheet name="Engine" sheetId="3" r:id="rId4"/>
  </sheets>
  <definedNames>
    <definedName name="_xlnm._FilterDatabase" localSheetId="0" hidden="1">'Page 1'!$J$10:$K$59</definedName>
    <definedName name="_xlnm.Print_Area" localSheetId="0">'Page 1'!$A$2:$P$89</definedName>
    <definedName name="_xlnm.Print_Titles" localSheetId="0">'Page 1'!$6:$9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3" l="1"/>
  <c r="J23" i="3"/>
  <c r="L23" i="3" s="1"/>
  <c r="J22" i="3"/>
  <c r="L22" i="3" s="1"/>
  <c r="J21" i="3"/>
  <c r="L21" i="3" s="1"/>
  <c r="J20" i="3"/>
  <c r="L20" i="3" s="1"/>
  <c r="J19" i="3"/>
  <c r="L19" i="3" s="1"/>
  <c r="J18" i="3"/>
  <c r="L18" i="3" s="1"/>
  <c r="J17" i="3"/>
  <c r="L17" i="3" s="1"/>
  <c r="J16" i="3"/>
  <c r="L16" i="3" s="1"/>
  <c r="J15" i="3"/>
  <c r="L15" i="3" s="1"/>
  <c r="J14" i="3"/>
  <c r="L14" i="3" s="1"/>
  <c r="J13" i="3"/>
  <c r="L13" i="3" s="1"/>
  <c r="J12" i="3"/>
  <c r="L12" i="3" s="1"/>
  <c r="J11" i="3"/>
  <c r="L11" i="3" s="1"/>
  <c r="L7" i="3"/>
  <c r="L6" i="3"/>
  <c r="H4" i="3"/>
  <c r="K23" i="3" s="1"/>
  <c r="M23" i="3" s="1"/>
  <c r="A4" i="3"/>
  <c r="F4" i="3" s="1"/>
  <c r="G4" i="3" s="1"/>
  <c r="K17" i="3" l="1"/>
  <c r="M17" i="3" s="1"/>
  <c r="K15" i="3"/>
  <c r="M15" i="3" s="1"/>
  <c r="K12" i="3"/>
  <c r="M12" i="3" s="1"/>
  <c r="K19" i="3"/>
  <c r="M19" i="3" s="1"/>
  <c r="K13" i="3"/>
  <c r="M13" i="3" s="1"/>
  <c r="K21" i="3"/>
  <c r="M21" i="3" s="1"/>
  <c r="K14" i="3"/>
  <c r="M14" i="3" s="1"/>
  <c r="K18" i="3"/>
  <c r="M18" i="3" s="1"/>
  <c r="K22" i="3"/>
  <c r="M22" i="3" s="1"/>
  <c r="K11" i="3"/>
  <c r="M11" i="3" s="1"/>
  <c r="K16" i="3"/>
  <c r="K20" i="3"/>
  <c r="M20" i="3" s="1"/>
  <c r="K12" i="1"/>
  <c r="K11" i="1"/>
  <c r="K50" i="1" l="1"/>
  <c r="K30" i="1" l="1"/>
  <c r="K14" i="1"/>
  <c r="K28" i="1" l="1"/>
  <c r="K27" i="1"/>
  <c r="K23" i="1" l="1"/>
  <c r="M15" i="1" l="1"/>
  <c r="M58" i="1" l="1"/>
  <c r="K70" i="1" l="1"/>
  <c r="K71" i="1" l="1"/>
  <c r="J77" i="1"/>
  <c r="M77" i="1" s="1"/>
  <c r="K42" i="1"/>
  <c r="K40" i="1"/>
  <c r="K38" i="1"/>
  <c r="K36" i="1"/>
  <c r="K46" i="1"/>
  <c r="K56" i="1"/>
  <c r="K55" i="1"/>
  <c r="H5" i="1"/>
  <c r="A5" i="1"/>
  <c r="K10" i="1"/>
  <c r="K13" i="1"/>
  <c r="K15" i="1"/>
  <c r="K16" i="1"/>
  <c r="K17" i="1"/>
  <c r="K18" i="1"/>
  <c r="K19" i="1"/>
  <c r="K20" i="1"/>
  <c r="K21" i="1"/>
  <c r="K22" i="1"/>
  <c r="K24" i="1"/>
  <c r="K25" i="1"/>
  <c r="K26" i="1"/>
  <c r="K29" i="1"/>
  <c r="M30" i="1"/>
  <c r="K32" i="1"/>
  <c r="K33" i="1"/>
  <c r="K34" i="1"/>
  <c r="K35" i="1"/>
  <c r="K37" i="1"/>
  <c r="K39" i="1"/>
  <c r="K41" i="1"/>
  <c r="K43" i="1"/>
  <c r="K44" i="1"/>
  <c r="K45" i="1"/>
  <c r="K47" i="1"/>
  <c r="K49" i="1"/>
  <c r="K51" i="1"/>
  <c r="K52" i="1"/>
  <c r="K53" i="1"/>
  <c r="K54" i="1"/>
  <c r="K57" i="1"/>
  <c r="M59" i="1"/>
  <c r="C11" i="2"/>
  <c r="K65" i="1"/>
  <c r="K66" i="1"/>
  <c r="K72" i="1"/>
  <c r="K73" i="1"/>
  <c r="K74" i="1"/>
  <c r="K75" i="1"/>
  <c r="J76" i="1"/>
  <c r="M76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A3" i="2"/>
  <c r="C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9" i="2"/>
  <c r="A20" i="2"/>
  <c r="B22" i="2"/>
  <c r="N30" i="1" l="1"/>
  <c r="N50" i="1"/>
  <c r="C13" i="2" s="1"/>
  <c r="F5" i="1"/>
  <c r="G5" i="1" s="1"/>
  <c r="N34" i="1"/>
  <c r="N72" i="1"/>
  <c r="N73" i="1"/>
  <c r="K5" i="1" s="1"/>
  <c r="H66" i="1"/>
  <c r="N51" i="1"/>
  <c r="N74" i="1"/>
  <c r="N66" i="1"/>
  <c r="N55" i="1"/>
  <c r="C14" i="2" s="1"/>
  <c r="N54" i="1"/>
  <c r="N47" i="1"/>
  <c r="C19" i="2" s="1"/>
  <c r="N75" i="1"/>
  <c r="N71" i="1"/>
  <c r="H65" i="1"/>
  <c r="N65" i="1"/>
  <c r="N49" i="1"/>
  <c r="C12" i="2" s="1"/>
  <c r="N46" i="1"/>
  <c r="N42" i="1"/>
  <c r="N38" i="1"/>
  <c r="N29" i="1"/>
  <c r="C20" i="2" s="1"/>
  <c r="N25" i="1"/>
  <c r="N21" i="1"/>
  <c r="N17" i="1"/>
  <c r="N14" i="1"/>
  <c r="N10" i="1"/>
  <c r="C17" i="2" s="1"/>
  <c r="N70" i="1"/>
  <c r="J5" i="1" s="1"/>
  <c r="N56" i="1"/>
  <c r="C15" i="2" s="1"/>
  <c r="N57" i="1"/>
  <c r="N53" i="1"/>
  <c r="C4" i="2" s="1"/>
  <c r="N45" i="1"/>
  <c r="N41" i="1"/>
  <c r="C10" i="2" s="1"/>
  <c r="N37" i="1"/>
  <c r="C8" i="2" s="1"/>
  <c r="N33" i="1"/>
  <c r="C5" i="2" s="1"/>
  <c r="N28" i="1"/>
  <c r="N24" i="1"/>
  <c r="N20" i="1"/>
  <c r="N16" i="1"/>
  <c r="N13" i="1"/>
  <c r="C18" i="2" s="1"/>
  <c r="N43" i="1"/>
  <c r="N39" i="1"/>
  <c r="C9" i="2" s="1"/>
  <c r="N35" i="1"/>
  <c r="C7" i="2" s="1"/>
  <c r="N26" i="1"/>
  <c r="N22" i="1"/>
  <c r="C16" i="2" s="1"/>
  <c r="N18" i="1"/>
  <c r="N15" i="1"/>
  <c r="N11" i="1"/>
  <c r="N52" i="1"/>
  <c r="N44" i="1"/>
  <c r="N40" i="1"/>
  <c r="N36" i="1"/>
  <c r="N32" i="1"/>
  <c r="C6" i="2" s="1"/>
  <c r="N27" i="1"/>
  <c r="N23" i="1"/>
  <c r="N19" i="1"/>
  <c r="N12" i="1"/>
</calcChain>
</file>

<file path=xl/sharedStrings.xml><?xml version="1.0" encoding="utf-8"?>
<sst xmlns="http://schemas.openxmlformats.org/spreadsheetml/2006/main" count="466" uniqueCount="285">
  <si>
    <t>BLADE M/R RED</t>
  </si>
  <si>
    <t>BLADE M/R WHITE</t>
  </si>
  <si>
    <t>HUB ASSEMBLY, M/R</t>
  </si>
  <si>
    <t>SCISSORS &amp; SLEEVE</t>
  </si>
  <si>
    <t>SWASH PLATE</t>
  </si>
  <si>
    <t>COLLECTIVE LEVER</t>
  </si>
  <si>
    <t>ROTATING BOLTS</t>
  </si>
  <si>
    <t>MAIN TRANSMISSION</t>
  </si>
  <si>
    <t>1ST HANGER ASSY</t>
  </si>
  <si>
    <t>2ND HANGER ASSY</t>
  </si>
  <si>
    <t>3RD HANGER ASSY</t>
  </si>
  <si>
    <t>4TH HANGER ASSY</t>
  </si>
  <si>
    <t>ELEVATOR L/H</t>
  </si>
  <si>
    <t>ELEVATOR R/H</t>
  </si>
  <si>
    <t>HORN ASSY, ELEVATOR</t>
  </si>
  <si>
    <t>ENGINE ASSY</t>
  </si>
  <si>
    <t>MAIN DRIVE SHAFT</t>
  </si>
  <si>
    <t>42 DEGREE GEARBOX</t>
  </si>
  <si>
    <t>90 DEGREE GEARBOX</t>
  </si>
  <si>
    <t>BEARINGS, OIL COOLER</t>
  </si>
  <si>
    <t>PHASE INSPECTION</t>
  </si>
  <si>
    <t>DESCRIPTION</t>
  </si>
  <si>
    <t>PART NUMBER</t>
  </si>
  <si>
    <t>TSN</t>
  </si>
  <si>
    <t>TSO</t>
  </si>
  <si>
    <t>DATE</t>
  </si>
  <si>
    <t xml:space="preserve">            INSTALLATION   DATA</t>
  </si>
  <si>
    <t>ACFT HRS</t>
  </si>
  <si>
    <t>HOURS</t>
  </si>
  <si>
    <t xml:space="preserve">       REMAINING</t>
  </si>
  <si>
    <t>SERIAL NUMBER</t>
  </si>
  <si>
    <t>SLIDER; T/R</t>
  </si>
  <si>
    <t>LANDINGS</t>
  </si>
  <si>
    <t>STARTS</t>
  </si>
  <si>
    <t>RINS/DAYS</t>
  </si>
  <si>
    <t>ACTION</t>
  </si>
  <si>
    <t>O/H</t>
  </si>
  <si>
    <t>RETIRE</t>
  </si>
  <si>
    <t>INSPECT</t>
  </si>
  <si>
    <t xml:space="preserve">O/H** = YOKE-1500 hours RETIREMENT, GRIPS-2500 hours RETIREMENT, TRUNNION-1500 hours INSPECTION, BEARINGS-CONDITION </t>
  </si>
  <si>
    <t>BLADE; T/R     RED</t>
  </si>
  <si>
    <t>BLADE; T/R     WHITE</t>
  </si>
  <si>
    <t>INTERVAL</t>
  </si>
  <si>
    <t xml:space="preserve">       ENGINE, HOT END INSP.</t>
  </si>
  <si>
    <t xml:space="preserve">       #4 HANGER BEARING</t>
  </si>
  <si>
    <t xml:space="preserve">       #3 HANGER BEARING</t>
  </si>
  <si>
    <t xml:space="preserve">        #2 HANGER BEARING</t>
  </si>
  <si>
    <t xml:space="preserve">         #1 HANGER BEARING</t>
  </si>
  <si>
    <t xml:space="preserve">       M/R TRUNNION</t>
  </si>
  <si>
    <t xml:space="preserve">       M/R STRAPS</t>
  </si>
  <si>
    <t xml:space="preserve">AIRCRAFT TOTALS TO  DATE </t>
  </si>
  <si>
    <t>ENGINE TOTALS TO  DATE</t>
  </si>
  <si>
    <t xml:space="preserve">                  RECURRING AIRWORTHINESS DIRECTIVES</t>
  </si>
  <si>
    <t>(start time)</t>
  </si>
  <si>
    <t>ESTIMATED 90 DAY $$ TOTAL</t>
  </si>
  <si>
    <t xml:space="preserve">ELT BATTERY </t>
  </si>
  <si>
    <t>Reference</t>
  </si>
  <si>
    <t>Frequency</t>
  </si>
  <si>
    <t>Date</t>
  </si>
  <si>
    <t>Hours</t>
  </si>
  <si>
    <t>Days</t>
  </si>
  <si>
    <t xml:space="preserve">           Time Remaining</t>
  </si>
  <si>
    <t xml:space="preserve">            Due @</t>
  </si>
  <si>
    <t xml:space="preserve">          Last Completed</t>
  </si>
  <si>
    <t xml:space="preserve">                                 SCHEDULED &amp; SPECIAL INSPECTIONS</t>
  </si>
  <si>
    <t>TM55-1520-210-23</t>
  </si>
  <si>
    <t>PITOT STATIC SYSTEM &amp; TRANSPONDER TEST</t>
  </si>
  <si>
    <t>WEIGHT AIRCRAFT IN CLOSED HANGAR</t>
  </si>
  <si>
    <t>12 month</t>
  </si>
  <si>
    <t>24 month</t>
  </si>
  <si>
    <t>T/R FLEX COUPLING INSP. &amp; LUBE @ XMSN</t>
  </si>
  <si>
    <t>T/R FLEX COUPLING INSP. &amp; LUBE @  T/R G/B</t>
  </si>
  <si>
    <t>T/R FLEX COUPLING INSP. &amp; LUBE @ 42 DEG. G/B</t>
  </si>
  <si>
    <t xml:space="preserve">                                     Inspection / Service</t>
  </si>
  <si>
    <t>TAILBOOM CONTINUED AIRWORTHINESS INSP.</t>
  </si>
  <si>
    <t>ESTIMATED</t>
  </si>
  <si>
    <t>COST</t>
  </si>
  <si>
    <t>T/S INSP.</t>
  </si>
  <si>
    <t>M/R HUB OVERHAUL</t>
  </si>
  <si>
    <t>AIRCRAFT HOURS</t>
  </si>
  <si>
    <t>REMAINING</t>
  </si>
  <si>
    <t>CALCULATION  DATE</t>
  </si>
  <si>
    <t>FLEX COUPLING, # 1 HANGER, LUBE / INSPECT</t>
  </si>
  <si>
    <t>FLEX COUPLING, # 2 HANGER, LUBE / INSPECT</t>
  </si>
  <si>
    <t>FLEX COUPLING, # 3 HANGER, LUBE / INSPECT</t>
  </si>
  <si>
    <t>FLEX COUPLING, # 4 HANGER, LUBE / INSPECT</t>
  </si>
  <si>
    <t>MAST</t>
  </si>
  <si>
    <t>TRUNNION</t>
  </si>
  <si>
    <t>SPUR GEAR VIB.  AD 2002-03-01</t>
  </si>
  <si>
    <t>TEST</t>
  </si>
  <si>
    <t>CYCLES</t>
  </si>
  <si>
    <t>PHASE</t>
  </si>
  <si>
    <t xml:space="preserve">   REMOVAL DATA</t>
  </si>
  <si>
    <t xml:space="preserve">STC </t>
  </si>
  <si>
    <t>100hrs</t>
  </si>
  <si>
    <t>300hrs</t>
  </si>
  <si>
    <t>25hrs</t>
  </si>
  <si>
    <t>50hrs</t>
  </si>
  <si>
    <t>150hrs</t>
  </si>
  <si>
    <t>TIME REMAINING TO:</t>
  </si>
  <si>
    <t>INSTALLED COMPONENTS AND INSPECTION DATA SHEETS</t>
  </si>
  <si>
    <t>RIN FORMULA IS ...=ALLOWABLE RIN -((((C4-A/C TURNS @ INSTALL)*6)+(B3-LANDINGS @INSTALL)*3)+COMPONENT RSN @ INSTALL) I/A/W AD 2000-22-51</t>
  </si>
  <si>
    <t>RIN FORMULA IS ...=ALLOWABLE RIN -((((C4-A/C TURNS @ INSTALL)*3)+(B3-LANDINGS @INSTALL)*1.5)+COMPONENT RSN @ INSTALL) I/A/W AD 2002-01-31</t>
  </si>
  <si>
    <t>204-011-307-1</t>
  </si>
  <si>
    <t>204-011-401-11</t>
  </si>
  <si>
    <t>204-310-101-101</t>
  </si>
  <si>
    <t>204-011-105-001</t>
  </si>
  <si>
    <t>204-011-400-11</t>
  </si>
  <si>
    <t>204-040-366-15</t>
  </si>
  <si>
    <t>A-3406</t>
  </si>
  <si>
    <t>204-011-450-105</t>
  </si>
  <si>
    <t>DNSF-348</t>
  </si>
  <si>
    <t>STABILIZAR BAR FRAME</t>
  </si>
  <si>
    <t>204-1629-2</t>
  </si>
  <si>
    <t>N/A</t>
  </si>
  <si>
    <t>205-040-263-111</t>
  </si>
  <si>
    <t>204-040-623-111</t>
  </si>
  <si>
    <t>205-030-856-19</t>
  </si>
  <si>
    <t>205-030-856-21</t>
  </si>
  <si>
    <t>CF-0764</t>
  </si>
  <si>
    <t>205-001-914-25</t>
  </si>
  <si>
    <t>RE-5016</t>
  </si>
  <si>
    <t>SKCP2281-103</t>
  </si>
  <si>
    <t>212-040-003-023</t>
  </si>
  <si>
    <t>AHP-25613</t>
  </si>
  <si>
    <t>UNK</t>
  </si>
  <si>
    <t>204-040-012-13</t>
  </si>
  <si>
    <t>ABC-5785</t>
  </si>
  <si>
    <t>204-011-722-5</t>
  </si>
  <si>
    <t>YOKE ASSY, T/R</t>
  </si>
  <si>
    <t>205-011-711-101</t>
  </si>
  <si>
    <t>75hrs</t>
  </si>
  <si>
    <t>Inspect @</t>
  </si>
  <si>
    <t>O/C</t>
  </si>
  <si>
    <t>TORQUE EVNTS</t>
  </si>
  <si>
    <t>YOKE, MAIN ROTOR</t>
  </si>
  <si>
    <t>204-011-102-017</t>
  </si>
  <si>
    <t>INBRD PIN, MAIN ROTOR</t>
  </si>
  <si>
    <t>204-012-104-5</t>
  </si>
  <si>
    <t>OUTBRD PIN, MAIN ROTOR</t>
  </si>
  <si>
    <t>INBRD FITTNG, MAIN ROTOR</t>
  </si>
  <si>
    <t>OUTBRD FTNG, MAIN ROTOR</t>
  </si>
  <si>
    <t>RR19-3206/RR19-3198</t>
  </si>
  <si>
    <t xml:space="preserve">       SCISSORS</t>
  </si>
  <si>
    <t>204-011-406-13</t>
  </si>
  <si>
    <t>SUPPORT</t>
  </si>
  <si>
    <t>204-011-404-5</t>
  </si>
  <si>
    <t>T53-1703</t>
  </si>
  <si>
    <t>LE-12448RX</t>
  </si>
  <si>
    <t xml:space="preserve"> </t>
  </si>
  <si>
    <t>204-012-101-139</t>
  </si>
  <si>
    <t>FCU SPLINE INSP AD 2006-11-16</t>
  </si>
  <si>
    <t>INSP</t>
  </si>
  <si>
    <t>TM55-1500-342-23</t>
  </si>
  <si>
    <t>ELT TEST IAW 91.207</t>
  </si>
  <si>
    <t>204-040-016-005</t>
  </si>
  <si>
    <t xml:space="preserve">  </t>
  </si>
  <si>
    <t>A-3419</t>
  </si>
  <si>
    <t>A-3519</t>
  </si>
  <si>
    <t>TM-1185</t>
  </si>
  <si>
    <t xml:space="preserve">GRIP, T/R    </t>
  </si>
  <si>
    <t xml:space="preserve">ALTIMETER CHECK </t>
  </si>
  <si>
    <t>25 HOUR SERVICE</t>
  </si>
  <si>
    <t>50 HOUR SERVICE</t>
  </si>
  <si>
    <t>75 HOUR SERVICE</t>
  </si>
  <si>
    <t>25Hr Serv.</t>
  </si>
  <si>
    <t>2042200-101</t>
  </si>
  <si>
    <t>BE-1621</t>
  </si>
  <si>
    <t>34971-2</t>
  </si>
  <si>
    <t>AFS-2288</t>
  </si>
  <si>
    <t>IT-0033/IT-0048</t>
  </si>
  <si>
    <t>IT-202/IT-212</t>
  </si>
  <si>
    <t>P-175/P-176</t>
  </si>
  <si>
    <t>204-011-179-001</t>
  </si>
  <si>
    <t>IT-0183/TM-2512</t>
  </si>
  <si>
    <t>J19-1273</t>
  </si>
  <si>
    <t>MM-1996</t>
  </si>
  <si>
    <t>ZS33857</t>
  </si>
  <si>
    <t>ZS33859</t>
  </si>
  <si>
    <t>ZS33865</t>
  </si>
  <si>
    <t>ZS33882</t>
  </si>
  <si>
    <t>204-010-720-003</t>
  </si>
  <si>
    <t>AZFS336</t>
  </si>
  <si>
    <t>ABU-12580</t>
  </si>
  <si>
    <t>LPFS36473/LPFS37480</t>
  </si>
  <si>
    <t>MAST BEARING</t>
  </si>
  <si>
    <t>MAST ASSEMBLY</t>
  </si>
  <si>
    <t xml:space="preserve"> MAST TUBE    </t>
  </si>
  <si>
    <t>212-040-136-001</t>
  </si>
  <si>
    <t>ZV 10810</t>
  </si>
  <si>
    <t>INPUT QUILL</t>
  </si>
  <si>
    <t>IT 12655</t>
  </si>
  <si>
    <t>IT 12853</t>
  </si>
  <si>
    <t>212-010-403-5</t>
  </si>
  <si>
    <t>EA-200</t>
  </si>
  <si>
    <t>EA-274</t>
  </si>
  <si>
    <t>EM-83006-4</t>
  </si>
  <si>
    <t>ASI-4012-102-009</t>
  </si>
  <si>
    <t>P3-279FM/P3-283FM</t>
  </si>
  <si>
    <t>ASI-4012-103-1</t>
  </si>
  <si>
    <t>DRAG BRACE CLEVIS, MR</t>
  </si>
  <si>
    <t>A122</t>
  </si>
  <si>
    <t>A123</t>
  </si>
  <si>
    <t>AC-0254</t>
  </si>
  <si>
    <t>P9101PPZ1FS50160/P9103PPFS381A</t>
  </si>
  <si>
    <t>SB T53-L-703-0100R2</t>
  </si>
  <si>
    <t>ENGINE CCH         AD 2009-15-13</t>
  </si>
  <si>
    <t>ASB T53-A0142 Visual</t>
  </si>
  <si>
    <t>SB T53-0144 Ultrasonic</t>
  </si>
  <si>
    <t>1200 flights</t>
  </si>
  <si>
    <t>204P2100-103</t>
  </si>
  <si>
    <t>A188</t>
  </si>
  <si>
    <t>A189</t>
  </si>
  <si>
    <t>PN</t>
  </si>
  <si>
    <t>SN</t>
  </si>
  <si>
    <t>Ret Life</t>
  </si>
  <si>
    <t>Cyc Life</t>
  </si>
  <si>
    <t>Time Rem</t>
  </si>
  <si>
    <t>Cyc Rem</t>
  </si>
  <si>
    <t>Frt Comp Shaft</t>
  </si>
  <si>
    <t>1-00-495-07</t>
  </si>
  <si>
    <t>32854-38</t>
  </si>
  <si>
    <t>1-101-250-03</t>
  </si>
  <si>
    <t>1F943</t>
  </si>
  <si>
    <t>1-100-800-04</t>
  </si>
  <si>
    <t>1-100-501-01</t>
  </si>
  <si>
    <t>3A293</t>
  </si>
  <si>
    <t>Powershaft</t>
  </si>
  <si>
    <t>1st gp disc</t>
  </si>
  <si>
    <t>1-100-133-01</t>
  </si>
  <si>
    <t>M70372</t>
  </si>
  <si>
    <t>1st gp seal disc</t>
  </si>
  <si>
    <t>1-100-545-03</t>
  </si>
  <si>
    <t>C847</t>
  </si>
  <si>
    <t>2nd GP Seal Disc</t>
  </si>
  <si>
    <t>1-100-544-03</t>
  </si>
  <si>
    <t>2nd GP Spacer</t>
  </si>
  <si>
    <t>1-100-546-02</t>
  </si>
  <si>
    <t>M398183</t>
  </si>
  <si>
    <t>2nd GP Disc</t>
  </si>
  <si>
    <t>1-100-063-05</t>
  </si>
  <si>
    <t>37284-413</t>
  </si>
  <si>
    <t>1st PT Disc</t>
  </si>
  <si>
    <t>1-190-009-05</t>
  </si>
  <si>
    <t>33092-12</t>
  </si>
  <si>
    <t>2nd PT Disc</t>
  </si>
  <si>
    <t>FCU</t>
  </si>
  <si>
    <t>GOV</t>
  </si>
  <si>
    <t>1-140-169-04</t>
  </si>
  <si>
    <t>1-140-272-04</t>
  </si>
  <si>
    <t>WO371</t>
  </si>
  <si>
    <t>#1 MAIN BEARING</t>
  </si>
  <si>
    <t>1-300-663-01</t>
  </si>
  <si>
    <t>TA53-0510833</t>
  </si>
  <si>
    <t>#2 MAIN BEARING</t>
  </si>
  <si>
    <t>1-300-665-01</t>
  </si>
  <si>
    <t>TA54-0510016</t>
  </si>
  <si>
    <t>#3 MAIN BEARING</t>
  </si>
  <si>
    <t>TA-0510011</t>
  </si>
  <si>
    <t>#4 MAIN BEARING</t>
  </si>
  <si>
    <t>TA53-0510834</t>
  </si>
  <si>
    <t>Powershaft Bearing</t>
  </si>
  <si>
    <t>1-300-082-03</t>
  </si>
  <si>
    <t>1-170-780-01</t>
  </si>
  <si>
    <t>662AL5227</t>
  </si>
  <si>
    <t>1-160-850-23</t>
  </si>
  <si>
    <t>652AM3311</t>
  </si>
  <si>
    <t>COMP TT</t>
  </si>
  <si>
    <t>Comp TT CYC</t>
  </si>
  <si>
    <t>453-6604</t>
  </si>
  <si>
    <t>242-08236</t>
  </si>
  <si>
    <t>452-6499</t>
  </si>
  <si>
    <t>Eng 3960.3</t>
  </si>
  <si>
    <t>2013 flights</t>
  </si>
  <si>
    <t>3213 flights</t>
  </si>
  <si>
    <t>A/C Hours</t>
  </si>
  <si>
    <t>Description</t>
  </si>
  <si>
    <t xml:space="preserve">TCYC  </t>
  </si>
  <si>
    <t>Compressor Hub</t>
  </si>
  <si>
    <t>Centrifugal Impeller</t>
  </si>
  <si>
    <t>1-100-078-13</t>
  </si>
  <si>
    <t>Compr Rear Shaft</t>
  </si>
  <si>
    <t>PT Disc Spacer</t>
  </si>
  <si>
    <t>A/C hours</t>
  </si>
  <si>
    <t>Component @ Inst.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</si>
</sst>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\-mmm\-yy"/>
    <numFmt numFmtId="165" formatCode="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6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3" fillId="2" borderId="0" xfId="0" applyFont="1" applyFill="1"/>
    <xf numFmtId="0" fontId="4" fillId="2" borderId="0" xfId="0" applyFont="1" applyFill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3" borderId="0" xfId="0" applyFont="1" applyFill="1"/>
    <xf numFmtId="0" fontId="6" fillId="3" borderId="0" xfId="0" applyFont="1" applyFill="1"/>
    <xf numFmtId="0" fontId="6" fillId="4" borderId="0" xfId="0" applyFont="1" applyFill="1"/>
    <xf numFmtId="164" fontId="6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44" fontId="0" fillId="0" borderId="0" xfId="1" applyFont="1"/>
    <xf numFmtId="14" fontId="6" fillId="3" borderId="0" xfId="0" applyNumberFormat="1" applyFont="1" applyFill="1"/>
    <xf numFmtId="0" fontId="2" fillId="2" borderId="0" xfId="0" applyFont="1" applyFill="1"/>
    <xf numFmtId="0" fontId="2" fillId="0" borderId="0" xfId="0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0" fontId="9" fillId="0" borderId="0" xfId="0" applyFont="1"/>
    <xf numFmtId="0" fontId="6" fillId="0" borderId="0" xfId="0" applyFont="1" applyFill="1" applyAlignment="1" applyProtection="1">
      <alignment horizontal="center"/>
    </xf>
    <xf numFmtId="164" fontId="6" fillId="4" borderId="0" xfId="0" applyNumberFormat="1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/>
      <protection locked="0"/>
    </xf>
    <xf numFmtId="0" fontId="10" fillId="4" borderId="0" xfId="0" applyFont="1" applyFill="1"/>
    <xf numFmtId="1" fontId="6" fillId="4" borderId="0" xfId="0" applyNumberFormat="1" applyFont="1" applyFill="1"/>
    <xf numFmtId="1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1" applyFont="1" applyAlignment="1">
      <alignment horizontal="center"/>
    </xf>
    <xf numFmtId="44" fontId="6" fillId="0" borderId="0" xfId="1" applyFont="1" applyFill="1"/>
    <xf numFmtId="1" fontId="6" fillId="0" borderId="0" xfId="0" applyNumberFormat="1" applyFont="1" applyAlignment="1">
      <alignment horizontal="center"/>
    </xf>
    <xf numFmtId="44" fontId="6" fillId="0" borderId="0" xfId="1" applyFont="1"/>
    <xf numFmtId="0" fontId="2" fillId="2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9" fillId="3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15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 applyFill="1"/>
    <xf numFmtId="0" fontId="13" fillId="0" borderId="0" xfId="0" applyFont="1" applyAlignment="1">
      <alignment horizontal="center"/>
    </xf>
    <xf numFmtId="165" fontId="6" fillId="2" borderId="0" xfId="0" applyNumberFormat="1" applyFont="1" applyFill="1" applyAlignment="1" applyProtection="1">
      <alignment horizontal="center"/>
    </xf>
    <xf numFmtId="0" fontId="6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165" fontId="8" fillId="0" borderId="0" xfId="0" applyNumberFormat="1" applyFont="1" applyFill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1" fontId="6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14" fontId="6" fillId="0" borderId="0" xfId="0" applyNumberFormat="1" applyFont="1" applyFill="1"/>
    <xf numFmtId="0" fontId="7" fillId="0" borderId="0" xfId="0" applyFont="1" applyFill="1"/>
    <xf numFmtId="0" fontId="6" fillId="0" borderId="1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/>
    <xf numFmtId="0" fontId="6" fillId="8" borderId="0" xfId="0" applyFont="1" applyFill="1" applyAlignment="1">
      <alignment horizontal="center"/>
    </xf>
    <xf numFmtId="0" fontId="7" fillId="8" borderId="0" xfId="0" applyFont="1" applyFill="1"/>
    <xf numFmtId="0" fontId="6" fillId="8" borderId="0" xfId="0" applyFont="1" applyFill="1"/>
    <xf numFmtId="164" fontId="6" fillId="8" borderId="0" xfId="0" applyNumberFormat="1" applyFont="1" applyFill="1" applyAlignment="1" applyProtection="1">
      <alignment horizontal="center"/>
      <protection locked="0"/>
    </xf>
    <xf numFmtId="0" fontId="10" fillId="8" borderId="0" xfId="0" applyFont="1" applyFill="1"/>
    <xf numFmtId="1" fontId="15" fillId="9" borderId="0" xfId="0" applyNumberFormat="1" applyFont="1" applyFill="1" applyAlignment="1">
      <alignment horizontal="center"/>
    </xf>
    <xf numFmtId="0" fontId="1" fillId="0" borderId="0" xfId="0" applyFont="1" applyFill="1"/>
    <xf numFmtId="0" fontId="1" fillId="10" borderId="0" xfId="0" applyFont="1" applyFill="1"/>
    <xf numFmtId="0" fontId="8" fillId="10" borderId="0" xfId="0" applyFont="1" applyFill="1"/>
    <xf numFmtId="0" fontId="1" fillId="0" borderId="0" xfId="0" applyFont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6" fillId="8" borderId="0" xfId="0" applyNumberFormat="1" applyFont="1" applyFill="1" applyAlignment="1">
      <alignment horizontal="center"/>
    </xf>
    <xf numFmtId="1" fontId="15" fillId="8" borderId="0" xfId="0" applyNumberFormat="1" applyFont="1" applyFill="1" applyAlignment="1">
      <alignment horizontal="center"/>
    </xf>
    <xf numFmtId="0" fontId="1" fillId="8" borderId="0" xfId="0" applyFont="1" applyFill="1" applyAlignment="1" applyProtection="1">
      <alignment horizontal="center"/>
      <protection locked="0"/>
    </xf>
    <xf numFmtId="0" fontId="1" fillId="8" borderId="0" xfId="0" applyFont="1" applyFill="1" applyBorder="1" applyAlignment="1" applyProtection="1">
      <alignment horizontal="center"/>
      <protection locked="0"/>
    </xf>
    <xf numFmtId="165" fontId="1" fillId="8" borderId="0" xfId="0" applyNumberFormat="1" applyFont="1" applyFill="1" applyAlignment="1">
      <alignment horizontal="center"/>
    </xf>
    <xf numFmtId="165" fontId="1" fillId="8" borderId="0" xfId="0" applyNumberFormat="1" applyFont="1" applyFill="1" applyAlignment="1" applyProtection="1">
      <alignment horizontal="center"/>
    </xf>
    <xf numFmtId="0" fontId="1" fillId="8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1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952275249722532"/>
          <c:y val="1.95758564437195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40843507214266E-2"/>
          <c:y val="0.11256117455138746"/>
          <c:w val="0.90566037735849725"/>
          <c:h val="0.53181076672103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Cost!$C$1:$C$2</c:f>
              <c:strCache>
                <c:ptCount val="2"/>
                <c:pt idx="0">
                  <c:v>HOURS</c:v>
                </c:pt>
                <c:pt idx="1">
                  <c:v>REMAINING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Cost!$A$3:$A$20</c:f>
              <c:strCache>
                <c:ptCount val="18"/>
                <c:pt idx="0">
                  <c:v>#REF!</c:v>
                </c:pt>
                <c:pt idx="1">
                  <c:v>YOKE ASSY, T/R</c:v>
                </c:pt>
                <c:pt idx="2">
                  <c:v>MAIN TRANSMISSION</c:v>
                </c:pt>
                <c:pt idx="3">
                  <c:v>ROTATING BOLTS</c:v>
                </c:pt>
                <c:pt idx="4">
                  <c:v>1ST HANGER ASSY</c:v>
                </c:pt>
                <c:pt idx="5">
                  <c:v>2ND HANGER ASSY</c:v>
                </c:pt>
                <c:pt idx="6">
                  <c:v>3RD HANGER ASSY</c:v>
                </c:pt>
                <c:pt idx="7">
                  <c:v>4TH HANGER ASSY</c:v>
                </c:pt>
                <c:pt idx="8">
                  <c:v>#REF!</c:v>
                </c:pt>
                <c:pt idx="9">
                  <c:v>42 DEGREE GEARBOX</c:v>
                </c:pt>
                <c:pt idx="10">
                  <c:v>90 DEGREE GEARBOX</c:v>
                </c:pt>
                <c:pt idx="11">
                  <c:v>BLADE; T/R     WHITE</c:v>
                </c:pt>
                <c:pt idx="12">
                  <c:v>BLADE; T/R     RED</c:v>
                </c:pt>
                <c:pt idx="13">
                  <c:v>SCISSORS &amp; SLEEVE</c:v>
                </c:pt>
                <c:pt idx="14">
                  <c:v>STABILIZAR BAR FRAME</c:v>
                </c:pt>
                <c:pt idx="15">
                  <c:v>M/R HUB OVERHAUL</c:v>
                </c:pt>
                <c:pt idx="16">
                  <c:v>       ENGINE, HOT END INSP.</c:v>
                </c:pt>
                <c:pt idx="17">
                  <c:v>MAST ASSEMBLY</c:v>
                </c:pt>
              </c:strCache>
            </c:strRef>
          </c:cat>
          <c:val>
            <c:numRef>
              <c:f>Cost!$C$3:$C$20</c:f>
              <c:numCache>
                <c:formatCode>0</c:formatCode>
                <c:ptCount val="18"/>
                <c:pt idx="0">
                  <c:v>0</c:v>
                </c:pt>
                <c:pt idx="1">
                  <c:v>1305.0000000000009</c:v>
                </c:pt>
                <c:pt idx="2">
                  <c:v>1498.6999999999998</c:v>
                </c:pt>
                <c:pt idx="3">
                  <c:v>381.19999999999982</c:v>
                </c:pt>
                <c:pt idx="4">
                  <c:v>452.60000000000036</c:v>
                </c:pt>
                <c:pt idx="5">
                  <c:v>452.60000000000036</c:v>
                </c:pt>
                <c:pt idx="6">
                  <c:v>452.60000000000036</c:v>
                </c:pt>
                <c:pt idx="7">
                  <c:v>452.60000000000036</c:v>
                </c:pt>
                <c:pt idx="8">
                  <c:v>0</c:v>
                </c:pt>
                <c:pt idx="9">
                  <c:v>2426.9000000000005</c:v>
                </c:pt>
                <c:pt idx="10">
                  <c:v>347.30000000000018</c:v>
                </c:pt>
                <c:pt idx="11">
                  <c:v>556.5</c:v>
                </c:pt>
                <c:pt idx="12">
                  <c:v>556.5</c:v>
                </c:pt>
                <c:pt idx="13">
                  <c:v>387.60000000000036</c:v>
                </c:pt>
                <c:pt idx="14">
                  <c:v>8988.2999999999993</c:v>
                </c:pt>
                <c:pt idx="15">
                  <c:v>387.60000000000036</c:v>
                </c:pt>
                <c:pt idx="16">
                  <c:v>1052.5999999999995</c:v>
                </c:pt>
                <c:pt idx="17">
                  <c:v>1500.0000000000009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DBD-9DE2-7281A2BE35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3827520"/>
        <c:axId val="293827128"/>
      </c:barChart>
      <c:catAx>
        <c:axId val="293827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SCHEDULED COMPONENTS</a:t>
                </a:r>
              </a:p>
            </c:rich>
          </c:tx>
          <c:layout>
            <c:manualLayout>
              <c:xMode val="edge"/>
              <c:yMode val="edge"/>
              <c:x val="0.43729189789123196"/>
              <c:y val="0.89885807504078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827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827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HOURS REMAINING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287112561174557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827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15982241953379"/>
          <c:y val="0.9559543230016313"/>
          <c:w val="0.15982241953385129"/>
          <c:h val="3.91517128874388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2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4116" cy="58427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2"/>
  <sheetViews>
    <sheetView tabSelected="1" topLeftCell="A25" zoomScale="106" zoomScaleNormal="160" workbookViewId="0">
      <selection activeCell="H30" sqref="H30"/>
    </sheetView>
  </sheetViews>
  <sheetFormatPr defaultRowHeight="12.75" x14ac:dyDescent="0.2"/>
  <cols>
    <col min="1" max="1" width="26.85546875" style="2" customWidth="1"/>
    <col min="2" max="2" width="16.7109375" style="2" customWidth="1"/>
    <col min="3" max="3" width="18.5703125" style="2" customWidth="1"/>
    <col min="4" max="4" width="0.42578125" style="6" customWidth="1"/>
    <col min="5" max="5" width="11.42578125" style="2" customWidth="1"/>
    <col min="6" max="6" width="10" style="2" customWidth="1"/>
    <col min="7" max="7" width="9.28515625" style="2" customWidth="1"/>
    <col min="8" max="8" width="7.85546875" style="2" customWidth="1"/>
    <col min="9" max="9" width="0.5703125" style="5" customWidth="1"/>
    <col min="10" max="10" width="10.140625" style="2" customWidth="1"/>
    <col min="11" max="11" width="10.42578125" style="2" customWidth="1"/>
    <col min="12" max="12" width="0.28515625" style="5" customWidth="1"/>
    <col min="13" max="13" width="10.42578125" style="2" customWidth="1"/>
    <col min="14" max="14" width="9.42578125" style="2" customWidth="1"/>
    <col min="15" max="15" width="8.28515625" style="3" customWidth="1"/>
    <col min="16" max="16" width="0.7109375" customWidth="1"/>
    <col min="17" max="17" width="11.5703125" customWidth="1"/>
  </cols>
  <sheetData>
    <row r="1" spans="1:18" ht="20.25" x14ac:dyDescent="0.3">
      <c r="E1" s="78" t="s">
        <v>100</v>
      </c>
    </row>
    <row r="2" spans="1:18" x14ac:dyDescent="0.2">
      <c r="A2" s="13"/>
      <c r="B2" s="55" t="s">
        <v>50</v>
      </c>
      <c r="C2" s="13"/>
      <c r="D2" s="15"/>
      <c r="E2" s="46"/>
      <c r="F2" s="55" t="s">
        <v>51</v>
      </c>
      <c r="G2" s="46"/>
      <c r="H2" s="17"/>
      <c r="I2" s="16"/>
      <c r="J2" s="24" t="s">
        <v>99</v>
      </c>
      <c r="K2" s="24"/>
      <c r="L2" s="16"/>
      <c r="M2" s="13" t="s">
        <v>81</v>
      </c>
      <c r="N2" s="13"/>
      <c r="O2" s="19"/>
      <c r="P2" s="16"/>
      <c r="Q2" s="7"/>
      <c r="R2" s="7"/>
    </row>
    <row r="3" spans="1:18" x14ac:dyDescent="0.2">
      <c r="A3" s="14" t="s">
        <v>79</v>
      </c>
      <c r="B3" s="14" t="s">
        <v>32</v>
      </c>
      <c r="C3" s="14" t="s">
        <v>134</v>
      </c>
      <c r="D3" s="15"/>
      <c r="E3" s="14" t="s">
        <v>33</v>
      </c>
      <c r="F3" s="14" t="s">
        <v>23</v>
      </c>
      <c r="G3" s="14" t="s">
        <v>24</v>
      </c>
      <c r="H3" s="25" t="s">
        <v>90</v>
      </c>
      <c r="I3" s="16"/>
      <c r="J3" s="25" t="s">
        <v>165</v>
      </c>
      <c r="K3" s="25" t="s">
        <v>91</v>
      </c>
      <c r="L3" s="42">
        <v>36641</v>
      </c>
      <c r="M3" s="51">
        <v>44459</v>
      </c>
      <c r="N3" s="52"/>
      <c r="O3" s="19"/>
      <c r="P3" s="16"/>
      <c r="Q3" s="7"/>
      <c r="R3" s="7"/>
    </row>
    <row r="4" spans="1:18" x14ac:dyDescent="0.2">
      <c r="A4" s="23">
        <v>2769.5</v>
      </c>
      <c r="B4" s="14"/>
      <c r="C4" s="14"/>
      <c r="D4" s="15"/>
      <c r="E4" s="14"/>
      <c r="F4" s="14"/>
      <c r="G4" s="14"/>
      <c r="H4" s="25"/>
      <c r="I4" s="16"/>
      <c r="J4" s="25"/>
      <c r="K4" s="25"/>
      <c r="L4" s="42"/>
      <c r="M4" s="51"/>
      <c r="N4" s="52"/>
      <c r="O4" s="19"/>
      <c r="P4" s="16"/>
      <c r="Q4" s="7" t="s">
        <v>156</v>
      </c>
      <c r="R4" s="7"/>
    </row>
    <row r="5" spans="1:18" x14ac:dyDescent="0.2">
      <c r="A5" s="88">
        <f>SUM(4440.2+A4)</f>
        <v>7209.7</v>
      </c>
      <c r="B5" s="49">
        <v>2080</v>
      </c>
      <c r="C5" s="49">
        <v>74</v>
      </c>
      <c r="D5" s="20"/>
      <c r="E5" s="50">
        <v>2414</v>
      </c>
      <c r="F5" s="23">
        <f>A5-3102</f>
        <v>4107.7</v>
      </c>
      <c r="G5" s="23">
        <f>F5-3960.3</f>
        <v>147.39999999999964</v>
      </c>
      <c r="H5" s="54">
        <f>E5+(C5*1.22)+(B5*0.1)+(A4)</f>
        <v>5481.7800000000007</v>
      </c>
      <c r="I5" s="16"/>
      <c r="J5" s="27">
        <f>N70</f>
        <v>23</v>
      </c>
      <c r="K5" s="27">
        <f>N73</f>
        <v>148</v>
      </c>
      <c r="L5" s="16"/>
      <c r="M5" s="40" t="s">
        <v>53</v>
      </c>
      <c r="N5" s="53"/>
      <c r="O5" s="19"/>
      <c r="P5" s="16"/>
      <c r="Q5" s="7"/>
      <c r="R5" s="7"/>
    </row>
    <row r="6" spans="1:18" s="7" customFormat="1" ht="3" customHeight="1" x14ac:dyDescent="0.2">
      <c r="A6" s="16"/>
      <c r="B6" s="16"/>
      <c r="C6" s="16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21"/>
      <c r="P6" s="16"/>
    </row>
    <row r="7" spans="1:18" x14ac:dyDescent="0.2">
      <c r="A7" s="14" t="s">
        <v>21</v>
      </c>
      <c r="B7" s="14" t="s">
        <v>22</v>
      </c>
      <c r="C7" s="14" t="s">
        <v>30</v>
      </c>
      <c r="D7" s="20"/>
      <c r="E7" s="13" t="s">
        <v>26</v>
      </c>
      <c r="F7" s="13"/>
      <c r="G7" s="13"/>
      <c r="H7" s="13"/>
      <c r="I7" s="16"/>
      <c r="J7" s="13" t="s">
        <v>92</v>
      </c>
      <c r="K7" s="13"/>
      <c r="L7" s="16"/>
      <c r="M7" s="22" t="s">
        <v>29</v>
      </c>
      <c r="N7" s="13"/>
      <c r="O7" s="14"/>
      <c r="P7" s="16"/>
      <c r="Q7" s="7"/>
      <c r="R7" s="7"/>
    </row>
    <row r="8" spans="1:18" s="2" customFormat="1" x14ac:dyDescent="0.2">
      <c r="A8" s="17"/>
      <c r="B8" s="17"/>
      <c r="C8" s="17"/>
      <c r="D8" s="15"/>
      <c r="E8" s="14" t="s">
        <v>25</v>
      </c>
      <c r="F8" s="13" t="s">
        <v>27</v>
      </c>
      <c r="G8" s="14" t="s">
        <v>23</v>
      </c>
      <c r="H8" s="14" t="s">
        <v>24</v>
      </c>
      <c r="I8" s="21"/>
      <c r="J8" s="14" t="s">
        <v>25</v>
      </c>
      <c r="K8" s="14" t="s">
        <v>27</v>
      </c>
      <c r="L8" s="21"/>
      <c r="M8" s="14" t="s">
        <v>34</v>
      </c>
      <c r="N8" s="14" t="s">
        <v>28</v>
      </c>
      <c r="O8" s="4" t="s">
        <v>35</v>
      </c>
      <c r="P8" s="16"/>
      <c r="Q8" s="5"/>
      <c r="R8" s="5"/>
    </row>
    <row r="9" spans="1:18" ht="3" customHeight="1" x14ac:dyDescent="0.2">
      <c r="A9" s="16"/>
      <c r="B9" s="16"/>
      <c r="C9" s="16"/>
      <c r="D9" s="15"/>
      <c r="E9" s="21"/>
      <c r="F9" s="16"/>
      <c r="G9" s="21"/>
      <c r="H9" s="21"/>
      <c r="I9" s="21"/>
      <c r="J9" s="16"/>
      <c r="K9" s="16"/>
      <c r="L9" s="16"/>
      <c r="M9" s="16"/>
      <c r="N9" s="16"/>
      <c r="O9" s="11"/>
      <c r="P9" s="16"/>
      <c r="Q9" s="7"/>
      <c r="R9" s="7"/>
    </row>
    <row r="10" spans="1:18" x14ac:dyDescent="0.2">
      <c r="A10" s="13" t="s">
        <v>112</v>
      </c>
      <c r="B10" s="37" t="s">
        <v>103</v>
      </c>
      <c r="C10" s="4" t="s">
        <v>142</v>
      </c>
      <c r="D10" s="20"/>
      <c r="E10" s="18">
        <v>37179</v>
      </c>
      <c r="F10" s="23">
        <v>4432</v>
      </c>
      <c r="G10" s="23">
        <v>3234</v>
      </c>
      <c r="H10" s="14" t="s">
        <v>114</v>
      </c>
      <c r="I10" s="21"/>
      <c r="J10" s="18"/>
      <c r="K10" s="23">
        <f>15000-G10+F10</f>
        <v>16198</v>
      </c>
      <c r="L10" s="21"/>
      <c r="M10" s="14"/>
      <c r="N10" s="27">
        <f>K10-A5</f>
        <v>8988.2999999999993</v>
      </c>
      <c r="O10" s="4" t="s">
        <v>37</v>
      </c>
      <c r="P10" s="16"/>
      <c r="Q10" s="7"/>
      <c r="R10" s="7"/>
    </row>
    <row r="11" spans="1:18" s="7" customFormat="1" x14ac:dyDescent="0.2">
      <c r="A11" s="24" t="s">
        <v>1</v>
      </c>
      <c r="B11" s="38" t="s">
        <v>210</v>
      </c>
      <c r="C11" s="91" t="s">
        <v>211</v>
      </c>
      <c r="D11" s="20"/>
      <c r="E11" s="26">
        <v>44127</v>
      </c>
      <c r="F11" s="27">
        <v>7054.9</v>
      </c>
      <c r="G11" s="27">
        <v>0</v>
      </c>
      <c r="H11" s="25" t="s">
        <v>114</v>
      </c>
      <c r="I11" s="21"/>
      <c r="J11" s="26"/>
      <c r="K11" s="27">
        <f>2600-G11+F11</f>
        <v>9654.9</v>
      </c>
      <c r="L11" s="21"/>
      <c r="M11" s="25"/>
      <c r="N11" s="27">
        <f>K11-A5</f>
        <v>2445.1999999999998</v>
      </c>
      <c r="O11" s="12" t="s">
        <v>37</v>
      </c>
      <c r="P11" s="16"/>
    </row>
    <row r="12" spans="1:18" s="7" customFormat="1" x14ac:dyDescent="0.2">
      <c r="A12" s="24" t="s">
        <v>0</v>
      </c>
      <c r="B12" s="38" t="s">
        <v>210</v>
      </c>
      <c r="C12" s="91" t="s">
        <v>212</v>
      </c>
      <c r="D12" s="20"/>
      <c r="E12" s="26">
        <v>44127</v>
      </c>
      <c r="F12" s="27">
        <v>7054.9</v>
      </c>
      <c r="G12" s="27">
        <v>0</v>
      </c>
      <c r="H12" s="25" t="s">
        <v>114</v>
      </c>
      <c r="I12" s="21"/>
      <c r="J12" s="26" t="s">
        <v>149</v>
      </c>
      <c r="K12" s="27">
        <f>2600-G12+F12</f>
        <v>9654.9</v>
      </c>
      <c r="L12" s="21"/>
      <c r="M12" s="25"/>
      <c r="N12" s="27">
        <f>K12-A5</f>
        <v>2445.1999999999998</v>
      </c>
      <c r="O12" s="12" t="s">
        <v>37</v>
      </c>
      <c r="P12" s="16"/>
    </row>
    <row r="13" spans="1:18" s="7" customFormat="1" x14ac:dyDescent="0.2">
      <c r="A13" s="24" t="s">
        <v>2</v>
      </c>
      <c r="B13" s="38" t="s">
        <v>150</v>
      </c>
      <c r="C13" s="25" t="s">
        <v>168</v>
      </c>
      <c r="D13" s="20"/>
      <c r="E13" s="26">
        <v>42560</v>
      </c>
      <c r="F13" s="27">
        <v>6397.3</v>
      </c>
      <c r="G13" s="27">
        <v>2371</v>
      </c>
      <c r="H13" s="27">
        <v>0</v>
      </c>
      <c r="I13" s="21"/>
      <c r="J13" s="26"/>
      <c r="K13" s="27">
        <f>1200-H13+F13</f>
        <v>7597.3</v>
      </c>
      <c r="L13" s="21"/>
      <c r="M13" s="47"/>
      <c r="N13" s="27">
        <f>K13-A5</f>
        <v>387.60000000000036</v>
      </c>
      <c r="O13" s="12" t="s">
        <v>36</v>
      </c>
      <c r="P13" s="16"/>
    </row>
    <row r="14" spans="1:18" s="7" customFormat="1" x14ac:dyDescent="0.2">
      <c r="A14" s="24" t="s">
        <v>49</v>
      </c>
      <c r="B14" s="38" t="s">
        <v>105</v>
      </c>
      <c r="C14" s="12" t="s">
        <v>184</v>
      </c>
      <c r="D14" s="20"/>
      <c r="E14" s="26">
        <v>43056</v>
      </c>
      <c r="F14" s="79">
        <v>6708.4</v>
      </c>
      <c r="G14" s="27">
        <v>0</v>
      </c>
      <c r="H14" s="25" t="s">
        <v>114</v>
      </c>
      <c r="I14" s="21"/>
      <c r="J14" s="26"/>
      <c r="K14" s="27">
        <f>2400-G14+F14</f>
        <v>9108.4</v>
      </c>
      <c r="L14" s="21"/>
      <c r="M14" s="24"/>
      <c r="N14" s="27">
        <f>K14-A5</f>
        <v>1898.6999999999998</v>
      </c>
      <c r="O14" s="12" t="s">
        <v>37</v>
      </c>
      <c r="P14" s="16"/>
    </row>
    <row r="15" spans="1:18" s="7" customFormat="1" x14ac:dyDescent="0.2">
      <c r="A15" s="24" t="s">
        <v>48</v>
      </c>
      <c r="B15" s="38" t="s">
        <v>106</v>
      </c>
      <c r="C15" s="25" t="s">
        <v>169</v>
      </c>
      <c r="D15" s="20"/>
      <c r="E15" s="26">
        <v>42560</v>
      </c>
      <c r="F15" s="27">
        <v>6397.3</v>
      </c>
      <c r="G15" s="27">
        <v>0</v>
      </c>
      <c r="H15" s="25" t="s">
        <v>114</v>
      </c>
      <c r="I15" s="21"/>
      <c r="J15" s="26" t="s">
        <v>149</v>
      </c>
      <c r="K15" s="27">
        <f>15000-G15+F15</f>
        <v>21397.3</v>
      </c>
      <c r="L15" s="21"/>
      <c r="M15" s="25">
        <f>300000-((((C5-64)*3)+(B5-1569)*1.5)+0)</f>
        <v>299203.5</v>
      </c>
      <c r="N15" s="27">
        <f>K15-A5</f>
        <v>14187.599999999999</v>
      </c>
      <c r="O15" s="12" t="s">
        <v>37</v>
      </c>
      <c r="P15" s="16"/>
    </row>
    <row r="16" spans="1:18" s="7" customFormat="1" x14ac:dyDescent="0.2">
      <c r="A16" s="24" t="s">
        <v>137</v>
      </c>
      <c r="B16" s="38" t="s">
        <v>138</v>
      </c>
      <c r="C16" s="25" t="s">
        <v>170</v>
      </c>
      <c r="D16" s="20"/>
      <c r="E16" s="26">
        <v>42560</v>
      </c>
      <c r="F16" s="27">
        <v>6397.3</v>
      </c>
      <c r="G16" s="27">
        <v>0</v>
      </c>
      <c r="H16" s="25" t="s">
        <v>114</v>
      </c>
      <c r="I16" s="21"/>
      <c r="J16" s="26"/>
      <c r="K16" s="27">
        <f>2400-G16+F16</f>
        <v>8797.2999999999993</v>
      </c>
      <c r="L16" s="21"/>
      <c r="M16" s="28"/>
      <c r="N16" s="27">
        <f>K16-A5</f>
        <v>1587.5999999999995</v>
      </c>
      <c r="O16" s="12" t="s">
        <v>37</v>
      </c>
      <c r="P16" s="16"/>
      <c r="Q16" s="7" t="s">
        <v>149</v>
      </c>
    </row>
    <row r="17" spans="1:19" s="7" customFormat="1" x14ac:dyDescent="0.2">
      <c r="A17" s="24" t="s">
        <v>139</v>
      </c>
      <c r="B17" s="38" t="s">
        <v>138</v>
      </c>
      <c r="C17" s="25" t="s">
        <v>171</v>
      </c>
      <c r="D17" s="20"/>
      <c r="E17" s="26">
        <v>42560</v>
      </c>
      <c r="F17" s="27">
        <v>6397.3</v>
      </c>
      <c r="G17" s="27">
        <v>0</v>
      </c>
      <c r="H17" s="25" t="s">
        <v>114</v>
      </c>
      <c r="I17" s="21"/>
      <c r="J17" s="26"/>
      <c r="K17" s="27">
        <f>2400-G17+F17</f>
        <v>8797.2999999999993</v>
      </c>
      <c r="L17" s="21"/>
      <c r="M17" s="28"/>
      <c r="N17" s="27">
        <f>K17-A5</f>
        <v>1587.5999999999995</v>
      </c>
      <c r="O17" s="12" t="s">
        <v>37</v>
      </c>
      <c r="P17" s="16"/>
      <c r="S17" s="7" t="s">
        <v>156</v>
      </c>
    </row>
    <row r="18" spans="1:19" s="7" customFormat="1" x14ac:dyDescent="0.2">
      <c r="A18" s="24" t="s">
        <v>140</v>
      </c>
      <c r="B18" s="38" t="s">
        <v>197</v>
      </c>
      <c r="C18" s="25" t="s">
        <v>198</v>
      </c>
      <c r="D18" s="20"/>
      <c r="E18" s="26">
        <v>42560</v>
      </c>
      <c r="F18" s="27">
        <v>6397.3</v>
      </c>
      <c r="G18" s="27">
        <v>0</v>
      </c>
      <c r="H18" s="25" t="s">
        <v>114</v>
      </c>
      <c r="I18" s="21"/>
      <c r="J18" s="26" t="s">
        <v>149</v>
      </c>
      <c r="K18" s="27">
        <f>2400-G18+F18</f>
        <v>8797.2999999999993</v>
      </c>
      <c r="L18" s="21"/>
      <c r="M18" s="28"/>
      <c r="N18" s="27">
        <f>K18-A5</f>
        <v>1587.5999999999995</v>
      </c>
      <c r="O18" s="12" t="s">
        <v>37</v>
      </c>
      <c r="P18" s="16"/>
    </row>
    <row r="19" spans="1:19" s="7" customFormat="1" x14ac:dyDescent="0.2">
      <c r="A19" s="24" t="s">
        <v>141</v>
      </c>
      <c r="B19" s="38" t="s">
        <v>199</v>
      </c>
      <c r="C19" s="12" t="s">
        <v>172</v>
      </c>
      <c r="D19" s="20"/>
      <c r="E19" s="26">
        <v>42560</v>
      </c>
      <c r="F19" s="27">
        <v>6397.3</v>
      </c>
      <c r="G19" s="27">
        <v>0</v>
      </c>
      <c r="H19" s="25" t="s">
        <v>114</v>
      </c>
      <c r="I19" s="21"/>
      <c r="J19" s="26"/>
      <c r="K19" s="27">
        <f>2400-G19+F19</f>
        <v>8797.2999999999993</v>
      </c>
      <c r="L19" s="21"/>
      <c r="M19" s="28"/>
      <c r="N19" s="27">
        <f>K19-A5</f>
        <v>1587.5999999999995</v>
      </c>
      <c r="O19" s="12" t="s">
        <v>37</v>
      </c>
      <c r="P19" s="16"/>
    </row>
    <row r="20" spans="1:19" s="7" customFormat="1" x14ac:dyDescent="0.2">
      <c r="A20" s="24" t="s">
        <v>200</v>
      </c>
      <c r="B20" s="38" t="s">
        <v>173</v>
      </c>
      <c r="C20" s="25" t="s">
        <v>174</v>
      </c>
      <c r="D20" s="20"/>
      <c r="E20" s="26">
        <v>42560</v>
      </c>
      <c r="F20" s="27">
        <v>6397.3</v>
      </c>
      <c r="G20" s="27">
        <v>2371</v>
      </c>
      <c r="H20" s="25" t="s">
        <v>114</v>
      </c>
      <c r="I20" s="21"/>
      <c r="J20" s="26"/>
      <c r="K20" s="27">
        <f>3600-G20+F20</f>
        <v>7626.3</v>
      </c>
      <c r="L20" s="21"/>
      <c r="M20" s="28"/>
      <c r="N20" s="27">
        <f>K20-A5</f>
        <v>416.60000000000036</v>
      </c>
      <c r="O20" s="12" t="s">
        <v>37</v>
      </c>
      <c r="P20" s="16"/>
    </row>
    <row r="21" spans="1:19" s="7" customFormat="1" x14ac:dyDescent="0.2">
      <c r="A21" s="24" t="s">
        <v>135</v>
      </c>
      <c r="B21" s="38" t="s">
        <v>136</v>
      </c>
      <c r="C21" s="25" t="s">
        <v>196</v>
      </c>
      <c r="D21" s="20"/>
      <c r="E21" s="26">
        <v>42560</v>
      </c>
      <c r="F21" s="27">
        <v>6397.3</v>
      </c>
      <c r="G21" s="27">
        <v>2422</v>
      </c>
      <c r="H21" s="25" t="s">
        <v>114</v>
      </c>
      <c r="I21" s="21"/>
      <c r="J21" s="26"/>
      <c r="K21" s="27">
        <f>7200-G21+F21</f>
        <v>11175.3</v>
      </c>
      <c r="L21" s="21"/>
      <c r="M21" s="28"/>
      <c r="N21" s="27">
        <f>K21-A5</f>
        <v>3965.5999999999995</v>
      </c>
      <c r="O21" s="12" t="s">
        <v>37</v>
      </c>
      <c r="P21" s="16"/>
    </row>
    <row r="22" spans="1:19" s="7" customFormat="1" x14ac:dyDescent="0.2">
      <c r="A22" s="24" t="s">
        <v>3</v>
      </c>
      <c r="B22" s="38" t="s">
        <v>104</v>
      </c>
      <c r="C22" s="25" t="s">
        <v>167</v>
      </c>
      <c r="D22" s="20"/>
      <c r="E22" s="26">
        <v>42560</v>
      </c>
      <c r="F22" s="27">
        <v>6397.3</v>
      </c>
      <c r="G22" s="27">
        <v>5739</v>
      </c>
      <c r="H22" s="27">
        <v>0</v>
      </c>
      <c r="I22" s="21"/>
      <c r="J22" s="26"/>
      <c r="K22" s="27">
        <f>1200-H22+F22</f>
        <v>7597.3</v>
      </c>
      <c r="L22" s="21"/>
      <c r="M22" s="25"/>
      <c r="N22" s="27">
        <f>K22-A5</f>
        <v>387.60000000000036</v>
      </c>
      <c r="O22" s="12" t="s">
        <v>36</v>
      </c>
      <c r="P22" s="16"/>
    </row>
    <row r="23" spans="1:19" s="7" customFormat="1" x14ac:dyDescent="0.2">
      <c r="A23" s="24" t="s">
        <v>143</v>
      </c>
      <c r="B23" s="38" t="s">
        <v>144</v>
      </c>
      <c r="C23" s="25" t="s">
        <v>191</v>
      </c>
      <c r="D23" s="20"/>
      <c r="E23" s="26">
        <v>43281</v>
      </c>
      <c r="F23" s="27">
        <v>6713.6</v>
      </c>
      <c r="G23" s="27">
        <v>2401</v>
      </c>
      <c r="H23" s="25" t="s">
        <v>114</v>
      </c>
      <c r="I23" s="21"/>
      <c r="J23" s="26"/>
      <c r="K23" s="27">
        <f>3600-G23+F23</f>
        <v>7912.6</v>
      </c>
      <c r="L23" s="21"/>
      <c r="M23" s="25"/>
      <c r="N23" s="27">
        <f>K23-A5</f>
        <v>702.90000000000055</v>
      </c>
      <c r="O23" s="12" t="s">
        <v>37</v>
      </c>
      <c r="P23" s="16"/>
    </row>
    <row r="24" spans="1:19" s="7" customFormat="1" x14ac:dyDescent="0.2">
      <c r="A24" s="24" t="s">
        <v>143</v>
      </c>
      <c r="B24" s="38" t="s">
        <v>144</v>
      </c>
      <c r="C24" s="25" t="s">
        <v>192</v>
      </c>
      <c r="D24" s="20"/>
      <c r="E24" s="26">
        <v>43281</v>
      </c>
      <c r="F24" s="27">
        <v>6713.6</v>
      </c>
      <c r="G24" s="27">
        <v>2401</v>
      </c>
      <c r="H24" s="25" t="s">
        <v>114</v>
      </c>
      <c r="I24" s="21"/>
      <c r="J24" s="26"/>
      <c r="K24" s="27">
        <f>3600-G24+F24</f>
        <v>7912.6</v>
      </c>
      <c r="L24" s="21"/>
      <c r="M24" s="25"/>
      <c r="N24" s="27">
        <f>K24-A5</f>
        <v>702.90000000000055</v>
      </c>
      <c r="O24" s="12" t="s">
        <v>37</v>
      </c>
      <c r="P24" s="16"/>
    </row>
    <row r="25" spans="1:19" s="7" customFormat="1" x14ac:dyDescent="0.2">
      <c r="A25" s="24" t="s">
        <v>4</v>
      </c>
      <c r="B25" s="38" t="s">
        <v>107</v>
      </c>
      <c r="C25" s="25" t="s">
        <v>175</v>
      </c>
      <c r="D25" s="20"/>
      <c r="E25" s="26">
        <v>42560</v>
      </c>
      <c r="F25" s="27">
        <v>6397.3</v>
      </c>
      <c r="G25" s="27">
        <v>5359</v>
      </c>
      <c r="H25" s="27">
        <v>0</v>
      </c>
      <c r="I25" s="21"/>
      <c r="J25" s="26"/>
      <c r="K25" s="27">
        <f>1200-H25+F25</f>
        <v>7597.3</v>
      </c>
      <c r="L25" s="21"/>
      <c r="M25" s="25"/>
      <c r="N25" s="27">
        <f>K25-A5</f>
        <v>387.60000000000036</v>
      </c>
      <c r="O25" s="12" t="s">
        <v>36</v>
      </c>
      <c r="P25" s="16"/>
    </row>
    <row r="26" spans="1:19" s="7" customFormat="1" x14ac:dyDescent="0.2">
      <c r="A26" s="24" t="s">
        <v>145</v>
      </c>
      <c r="B26" s="38" t="s">
        <v>146</v>
      </c>
      <c r="C26" s="25" t="s">
        <v>176</v>
      </c>
      <c r="D26" s="20"/>
      <c r="E26" s="26">
        <v>42560</v>
      </c>
      <c r="F26" s="27">
        <v>6397.3</v>
      </c>
      <c r="G26" s="27">
        <v>1832</v>
      </c>
      <c r="H26" s="25" t="s">
        <v>114</v>
      </c>
      <c r="I26" s="21"/>
      <c r="J26" s="26"/>
      <c r="K26" s="27">
        <f>3600-G26+F26</f>
        <v>8165.3</v>
      </c>
      <c r="L26" s="21"/>
      <c r="M26" s="25"/>
      <c r="N26" s="27">
        <f>K26-A5</f>
        <v>955.60000000000036</v>
      </c>
      <c r="O26" s="12" t="s">
        <v>37</v>
      </c>
      <c r="P26" s="16"/>
    </row>
    <row r="27" spans="1:19" s="7" customFormat="1" x14ac:dyDescent="0.2">
      <c r="A27" s="24" t="s">
        <v>5</v>
      </c>
      <c r="B27" s="38" t="s">
        <v>193</v>
      </c>
      <c r="C27" s="25" t="s">
        <v>194</v>
      </c>
      <c r="D27" s="20"/>
      <c r="E27" s="26">
        <v>43343</v>
      </c>
      <c r="F27" s="27">
        <v>6822.2</v>
      </c>
      <c r="G27" s="27">
        <v>1290</v>
      </c>
      <c r="H27" s="25" t="s">
        <v>114</v>
      </c>
      <c r="I27" s="21"/>
      <c r="J27" s="26"/>
      <c r="K27" s="27">
        <f>4800-G27+F27</f>
        <v>10332.200000000001</v>
      </c>
      <c r="L27" s="21"/>
      <c r="M27" s="25"/>
      <c r="N27" s="27">
        <f>K27-A5</f>
        <v>3122.5000000000009</v>
      </c>
      <c r="O27" s="12" t="s">
        <v>37</v>
      </c>
      <c r="P27" s="16"/>
    </row>
    <row r="28" spans="1:19" s="7" customFormat="1" x14ac:dyDescent="0.2">
      <c r="A28" s="24" t="s">
        <v>5</v>
      </c>
      <c r="B28" s="38" t="s">
        <v>193</v>
      </c>
      <c r="C28" s="25" t="s">
        <v>195</v>
      </c>
      <c r="D28" s="20"/>
      <c r="E28" s="26">
        <v>43343</v>
      </c>
      <c r="F28" s="27">
        <v>6822.2</v>
      </c>
      <c r="G28" s="27">
        <v>1290</v>
      </c>
      <c r="H28" s="25" t="s">
        <v>114</v>
      </c>
      <c r="I28" s="21"/>
      <c r="J28" s="26"/>
      <c r="K28" s="27">
        <f>4800-G28+F28</f>
        <v>10332.200000000001</v>
      </c>
      <c r="L28" s="21"/>
      <c r="M28" s="25"/>
      <c r="N28" s="27">
        <f>K28-A5</f>
        <v>3122.5000000000009</v>
      </c>
      <c r="O28" s="12" t="s">
        <v>37</v>
      </c>
      <c r="P28" s="16"/>
    </row>
    <row r="29" spans="1:19" s="7" customFormat="1" x14ac:dyDescent="0.2">
      <c r="A29" s="24" t="s">
        <v>186</v>
      </c>
      <c r="B29" s="38" t="s">
        <v>108</v>
      </c>
      <c r="C29" s="25" t="s">
        <v>109</v>
      </c>
      <c r="D29" s="20"/>
      <c r="E29" s="26">
        <v>43056</v>
      </c>
      <c r="F29" s="27">
        <v>7209.7</v>
      </c>
      <c r="G29" s="27">
        <v>2276.4</v>
      </c>
      <c r="H29" s="27">
        <v>0</v>
      </c>
      <c r="I29" s="21"/>
      <c r="J29" s="26"/>
      <c r="K29" s="27">
        <f>1500-H29+F29</f>
        <v>8709.7000000000007</v>
      </c>
      <c r="L29" s="21"/>
      <c r="M29" s="25"/>
      <c r="N29" s="27">
        <f>K29-A5</f>
        <v>1500.0000000000009</v>
      </c>
      <c r="O29" s="12" t="s">
        <v>36</v>
      </c>
      <c r="P29" s="16"/>
    </row>
    <row r="30" spans="1:19" s="7" customFormat="1" x14ac:dyDescent="0.2">
      <c r="A30" s="89" t="s">
        <v>187</v>
      </c>
      <c r="B30" s="38" t="s">
        <v>110</v>
      </c>
      <c r="C30" s="25" t="s">
        <v>111</v>
      </c>
      <c r="D30" s="20"/>
      <c r="E30" s="26">
        <v>37179</v>
      </c>
      <c r="F30" s="27">
        <v>4432</v>
      </c>
      <c r="G30" s="27">
        <v>0</v>
      </c>
      <c r="H30" s="25" t="s">
        <v>114</v>
      </c>
      <c r="I30" s="21"/>
      <c r="J30" s="26"/>
      <c r="K30" s="27">
        <f>15000-G30+F30</f>
        <v>19432</v>
      </c>
      <c r="L30" s="21"/>
      <c r="M30" s="25">
        <f>265000-((((C5-0)*6)+(B5-0)*3)+0)</f>
        <v>258316</v>
      </c>
      <c r="N30" s="27">
        <f>K30-A5</f>
        <v>12222.3</v>
      </c>
      <c r="O30" s="12" t="s">
        <v>37</v>
      </c>
      <c r="P30" s="16"/>
    </row>
    <row r="31" spans="1:19" s="7" customFormat="1" x14ac:dyDescent="0.2">
      <c r="A31" s="81" t="s">
        <v>185</v>
      </c>
      <c r="B31" s="38" t="s">
        <v>188</v>
      </c>
      <c r="C31" s="25" t="s">
        <v>189</v>
      </c>
      <c r="D31" s="20"/>
      <c r="E31" s="26">
        <v>43056</v>
      </c>
      <c r="F31" s="27">
        <v>6708.4</v>
      </c>
      <c r="G31" s="27">
        <v>0</v>
      </c>
      <c r="H31" s="27">
        <v>0</v>
      </c>
      <c r="I31" s="21"/>
      <c r="J31" s="26"/>
      <c r="K31" s="27" t="s">
        <v>133</v>
      </c>
      <c r="L31" s="21"/>
      <c r="M31" s="25"/>
      <c r="N31" s="27" t="s">
        <v>133</v>
      </c>
      <c r="O31" s="12" t="s">
        <v>37</v>
      </c>
      <c r="P31" s="16"/>
    </row>
    <row r="32" spans="1:19" s="7" customFormat="1" x14ac:dyDescent="0.2">
      <c r="A32" s="24" t="s">
        <v>6</v>
      </c>
      <c r="B32" s="38" t="s">
        <v>113</v>
      </c>
      <c r="C32" s="25"/>
      <c r="D32" s="20"/>
      <c r="E32" s="26">
        <v>44104</v>
      </c>
      <c r="F32" s="27">
        <v>6990.9</v>
      </c>
      <c r="G32" s="27">
        <v>0</v>
      </c>
      <c r="H32" s="25" t="s">
        <v>114</v>
      </c>
      <c r="I32" s="21"/>
      <c r="J32" s="26"/>
      <c r="K32" s="27">
        <f>600-G32+F32</f>
        <v>7590.9</v>
      </c>
      <c r="L32" s="21"/>
      <c r="M32" s="25"/>
      <c r="N32" s="27">
        <f>K32-A5</f>
        <v>381.19999999999982</v>
      </c>
      <c r="O32" s="12" t="s">
        <v>37</v>
      </c>
      <c r="P32" s="16"/>
    </row>
    <row r="33" spans="1:18" s="7" customFormat="1" x14ac:dyDescent="0.2">
      <c r="A33" s="24" t="s">
        <v>7</v>
      </c>
      <c r="B33" s="38" t="s">
        <v>155</v>
      </c>
      <c r="C33" s="33" t="s">
        <v>183</v>
      </c>
      <c r="D33" s="20"/>
      <c r="E33" s="26">
        <v>43056</v>
      </c>
      <c r="F33" s="27">
        <v>6708.4</v>
      </c>
      <c r="G33" s="27">
        <v>6204</v>
      </c>
      <c r="H33" s="27">
        <v>0</v>
      </c>
      <c r="I33" s="21"/>
      <c r="J33" s="26"/>
      <c r="K33" s="27">
        <f>2000-H33+F33</f>
        <v>8708.4</v>
      </c>
      <c r="L33" s="21"/>
      <c r="M33" s="25"/>
      <c r="N33" s="25">
        <f>K33-A5</f>
        <v>1498.6999999999998</v>
      </c>
      <c r="O33" s="12" t="s">
        <v>36</v>
      </c>
      <c r="P33" s="16"/>
    </row>
    <row r="34" spans="1:18" s="7" customFormat="1" x14ac:dyDescent="0.2">
      <c r="A34" s="25" t="s">
        <v>190</v>
      </c>
      <c r="B34" s="38" t="s">
        <v>115</v>
      </c>
      <c r="C34" s="25"/>
      <c r="D34" s="20"/>
      <c r="E34" s="26">
        <v>43056</v>
      </c>
      <c r="F34" s="27">
        <v>6708.4</v>
      </c>
      <c r="G34" s="27" t="s">
        <v>125</v>
      </c>
      <c r="H34" s="27">
        <v>0</v>
      </c>
      <c r="I34" s="21"/>
      <c r="J34" s="26"/>
      <c r="K34" s="27">
        <f>1500-H34+F34</f>
        <v>8208.4</v>
      </c>
      <c r="L34" s="21"/>
      <c r="M34" s="25"/>
      <c r="N34" s="27">
        <f>K34-A5</f>
        <v>998.69999999999982</v>
      </c>
      <c r="O34" s="12" t="s">
        <v>36</v>
      </c>
      <c r="P34" s="16"/>
      <c r="Q34" s="24" t="s">
        <v>149</v>
      </c>
    </row>
    <row r="35" spans="1:18" s="7" customFormat="1" x14ac:dyDescent="0.2">
      <c r="A35" s="24" t="s">
        <v>8</v>
      </c>
      <c r="B35" s="38"/>
      <c r="C35" s="25"/>
      <c r="D35" s="20"/>
      <c r="E35" s="26">
        <v>44328</v>
      </c>
      <c r="F35" s="27">
        <v>7062.3</v>
      </c>
      <c r="G35" s="25" t="s">
        <v>125</v>
      </c>
      <c r="H35" s="27">
        <v>0</v>
      </c>
      <c r="I35" s="21"/>
      <c r="J35" s="26" t="s">
        <v>132</v>
      </c>
      <c r="K35" s="27">
        <f>F35+600</f>
        <v>7662.3</v>
      </c>
      <c r="L35" s="21"/>
      <c r="M35" s="25"/>
      <c r="N35" s="27">
        <f>K35-A5</f>
        <v>452.60000000000036</v>
      </c>
      <c r="O35" s="12" t="s">
        <v>38</v>
      </c>
      <c r="P35" s="16"/>
    </row>
    <row r="36" spans="1:18" s="7" customFormat="1" x14ac:dyDescent="0.2">
      <c r="A36" s="24" t="s">
        <v>47</v>
      </c>
      <c r="B36" s="38" t="s">
        <v>116</v>
      </c>
      <c r="C36" s="25" t="s">
        <v>177</v>
      </c>
      <c r="D36" s="20"/>
      <c r="E36" s="26">
        <v>42946</v>
      </c>
      <c r="F36" s="25">
        <v>6561.1</v>
      </c>
      <c r="G36" s="27">
        <v>0</v>
      </c>
      <c r="H36" s="25" t="s">
        <v>114</v>
      </c>
      <c r="I36" s="21"/>
      <c r="J36" s="26"/>
      <c r="K36" s="27">
        <f>1000-G36+F36</f>
        <v>7561.1</v>
      </c>
      <c r="L36" s="21"/>
      <c r="M36" s="25"/>
      <c r="N36" s="27">
        <f>K36-A5</f>
        <v>351.40000000000055</v>
      </c>
      <c r="O36" s="12" t="s">
        <v>37</v>
      </c>
      <c r="P36" s="16"/>
    </row>
    <row r="37" spans="1:18" s="7" customFormat="1" x14ac:dyDescent="0.2">
      <c r="A37" s="24" t="s">
        <v>9</v>
      </c>
      <c r="B37" s="38"/>
      <c r="C37" s="25"/>
      <c r="D37" s="20"/>
      <c r="E37" s="26">
        <v>44328</v>
      </c>
      <c r="F37" s="27">
        <v>7062.3</v>
      </c>
      <c r="G37" s="25" t="s">
        <v>125</v>
      </c>
      <c r="H37" s="27">
        <v>0</v>
      </c>
      <c r="I37" s="21"/>
      <c r="J37" s="26" t="s">
        <v>132</v>
      </c>
      <c r="K37" s="27">
        <f>F37+600</f>
        <v>7662.3</v>
      </c>
      <c r="L37" s="21"/>
      <c r="M37" s="25"/>
      <c r="N37" s="27">
        <f>K37-A5</f>
        <v>452.60000000000036</v>
      </c>
      <c r="O37" s="12" t="s">
        <v>38</v>
      </c>
      <c r="P37" s="16"/>
    </row>
    <row r="38" spans="1:18" s="7" customFormat="1" x14ac:dyDescent="0.2">
      <c r="A38" s="24" t="s">
        <v>46</v>
      </c>
      <c r="B38" s="38" t="s">
        <v>116</v>
      </c>
      <c r="C38" s="25" t="s">
        <v>178</v>
      </c>
      <c r="D38" s="20"/>
      <c r="E38" s="26">
        <v>42946</v>
      </c>
      <c r="F38" s="25">
        <v>6561.1</v>
      </c>
      <c r="G38" s="27">
        <v>0</v>
      </c>
      <c r="H38" s="25" t="s">
        <v>114</v>
      </c>
      <c r="I38" s="21"/>
      <c r="J38" s="26"/>
      <c r="K38" s="27">
        <f>1000-G38+F38</f>
        <v>7561.1</v>
      </c>
      <c r="L38" s="21"/>
      <c r="M38" s="25"/>
      <c r="N38" s="27">
        <f>K38-A5</f>
        <v>351.40000000000055</v>
      </c>
      <c r="O38" s="12" t="s">
        <v>37</v>
      </c>
      <c r="P38" s="16"/>
    </row>
    <row r="39" spans="1:18" s="7" customFormat="1" x14ac:dyDescent="0.2">
      <c r="A39" s="24" t="s">
        <v>10</v>
      </c>
      <c r="B39" s="38"/>
      <c r="C39" s="25"/>
      <c r="D39" s="20"/>
      <c r="E39" s="26">
        <v>44328</v>
      </c>
      <c r="F39" s="27">
        <v>7062.3</v>
      </c>
      <c r="G39" s="25" t="s">
        <v>125</v>
      </c>
      <c r="H39" s="27">
        <v>0</v>
      </c>
      <c r="I39" s="21"/>
      <c r="J39" s="26" t="s">
        <v>132</v>
      </c>
      <c r="K39" s="27">
        <f>F39+600</f>
        <v>7662.3</v>
      </c>
      <c r="L39" s="21"/>
      <c r="M39" s="25"/>
      <c r="N39" s="27">
        <f>K39-A5</f>
        <v>452.60000000000036</v>
      </c>
      <c r="O39" s="12" t="s">
        <v>38</v>
      </c>
      <c r="P39" s="16"/>
    </row>
    <row r="40" spans="1:18" s="7" customFormat="1" x14ac:dyDescent="0.2">
      <c r="A40" s="24" t="s">
        <v>45</v>
      </c>
      <c r="B40" s="38" t="s">
        <v>116</v>
      </c>
      <c r="C40" s="25" t="s">
        <v>179</v>
      </c>
      <c r="D40" s="20"/>
      <c r="E40" s="26">
        <v>42946</v>
      </c>
      <c r="F40" s="25">
        <v>6561.1</v>
      </c>
      <c r="G40" s="27">
        <v>0</v>
      </c>
      <c r="H40" s="25" t="s">
        <v>114</v>
      </c>
      <c r="I40" s="21"/>
      <c r="J40" s="26"/>
      <c r="K40" s="27">
        <f>1000-G40+F40</f>
        <v>7561.1</v>
      </c>
      <c r="L40" s="21"/>
      <c r="M40" s="25"/>
      <c r="N40" s="27">
        <f>K40-A5</f>
        <v>351.40000000000055</v>
      </c>
      <c r="O40" s="12" t="s">
        <v>37</v>
      </c>
      <c r="P40" s="16"/>
    </row>
    <row r="41" spans="1:18" s="7" customFormat="1" x14ac:dyDescent="0.2">
      <c r="A41" s="24" t="s">
        <v>11</v>
      </c>
      <c r="B41" s="38"/>
      <c r="C41" s="25"/>
      <c r="D41" s="20"/>
      <c r="E41" s="26">
        <v>44328</v>
      </c>
      <c r="F41" s="27">
        <v>7062.3</v>
      </c>
      <c r="G41" s="25" t="s">
        <v>125</v>
      </c>
      <c r="H41" s="27">
        <v>0</v>
      </c>
      <c r="I41" s="21"/>
      <c r="J41" s="26" t="s">
        <v>132</v>
      </c>
      <c r="K41" s="27">
        <f>F41+600</f>
        <v>7662.3</v>
      </c>
      <c r="L41" s="21"/>
      <c r="M41" s="25"/>
      <c r="N41" s="27">
        <f>K41-A5</f>
        <v>452.60000000000036</v>
      </c>
      <c r="O41" s="12" t="s">
        <v>38</v>
      </c>
      <c r="P41" s="16"/>
    </row>
    <row r="42" spans="1:18" s="7" customFormat="1" x14ac:dyDescent="0.2">
      <c r="A42" s="24" t="s">
        <v>44</v>
      </c>
      <c r="B42" s="38" t="s">
        <v>116</v>
      </c>
      <c r="C42" s="25" t="s">
        <v>180</v>
      </c>
      <c r="D42" s="20"/>
      <c r="E42" s="26">
        <v>42946</v>
      </c>
      <c r="F42" s="25">
        <v>6561.1</v>
      </c>
      <c r="G42" s="27">
        <v>0</v>
      </c>
      <c r="H42" s="25" t="s">
        <v>114</v>
      </c>
      <c r="I42" s="21"/>
      <c r="J42" s="26"/>
      <c r="K42" s="27">
        <f>1000-G42+F42</f>
        <v>7561.1</v>
      </c>
      <c r="L42" s="21"/>
      <c r="M42" s="25"/>
      <c r="N42" s="27">
        <f>K42-A5</f>
        <v>351.40000000000055</v>
      </c>
      <c r="O42" s="12" t="s">
        <v>37</v>
      </c>
      <c r="P42" s="16"/>
    </row>
    <row r="43" spans="1:18" x14ac:dyDescent="0.2">
      <c r="A43" s="13" t="s">
        <v>12</v>
      </c>
      <c r="B43" s="37" t="s">
        <v>117</v>
      </c>
      <c r="C43" s="90" t="s">
        <v>203</v>
      </c>
      <c r="D43" s="20"/>
      <c r="E43" s="18">
        <v>43655</v>
      </c>
      <c r="F43" s="23">
        <v>6861.5</v>
      </c>
      <c r="G43" s="23">
        <v>781</v>
      </c>
      <c r="H43" s="14" t="s">
        <v>114</v>
      </c>
      <c r="I43" s="21"/>
      <c r="J43" s="18"/>
      <c r="K43" s="23">
        <f>3600-G43+F43</f>
        <v>9680.5</v>
      </c>
      <c r="L43" s="21"/>
      <c r="M43" s="14"/>
      <c r="N43" s="27">
        <f>K43-A5</f>
        <v>2470.8000000000002</v>
      </c>
      <c r="O43" s="4" t="s">
        <v>37</v>
      </c>
      <c r="P43" s="16"/>
      <c r="Q43" s="7"/>
      <c r="R43" s="7"/>
    </row>
    <row r="44" spans="1:18" x14ac:dyDescent="0.2">
      <c r="A44" s="13" t="s">
        <v>13</v>
      </c>
      <c r="B44" s="37" t="s">
        <v>118</v>
      </c>
      <c r="C44" s="14" t="s">
        <v>119</v>
      </c>
      <c r="D44" s="20"/>
      <c r="E44" s="18">
        <v>37179</v>
      </c>
      <c r="F44" s="23">
        <v>7209.7</v>
      </c>
      <c r="G44" s="23">
        <v>1861</v>
      </c>
      <c r="H44" s="14" t="s">
        <v>114</v>
      </c>
      <c r="I44" s="21"/>
      <c r="J44" s="18"/>
      <c r="K44" s="23">
        <f>3600-G44+F44</f>
        <v>8948.7000000000007</v>
      </c>
      <c r="L44" s="21"/>
      <c r="M44" s="14"/>
      <c r="N44" s="27">
        <f>K44-A5</f>
        <v>1739.0000000000009</v>
      </c>
      <c r="O44" s="4" t="s">
        <v>37</v>
      </c>
      <c r="P44" s="16"/>
      <c r="Q44" s="7"/>
      <c r="R44" s="7"/>
    </row>
    <row r="45" spans="1:18" x14ac:dyDescent="0.2">
      <c r="A45" s="13" t="s">
        <v>14</v>
      </c>
      <c r="B45" s="37" t="s">
        <v>120</v>
      </c>
      <c r="C45" s="25" t="s">
        <v>121</v>
      </c>
      <c r="D45" s="20"/>
      <c r="E45" s="26">
        <v>37179</v>
      </c>
      <c r="F45" s="27">
        <v>3262</v>
      </c>
      <c r="G45" s="27">
        <v>376</v>
      </c>
      <c r="H45" s="25" t="s">
        <v>114</v>
      </c>
      <c r="I45" s="21"/>
      <c r="J45" s="18"/>
      <c r="K45" s="27">
        <f>4800-G45+F45</f>
        <v>7686</v>
      </c>
      <c r="L45" s="21"/>
      <c r="M45" s="14"/>
      <c r="N45" s="27">
        <f>K45-A5</f>
        <v>476.30000000000018</v>
      </c>
      <c r="O45" s="4" t="s">
        <v>37</v>
      </c>
      <c r="P45" s="16"/>
      <c r="Q45" s="7"/>
      <c r="R45" s="7"/>
    </row>
    <row r="46" spans="1:18" x14ac:dyDescent="0.2">
      <c r="A46" s="13" t="s">
        <v>15</v>
      </c>
      <c r="B46" s="37" t="s">
        <v>147</v>
      </c>
      <c r="C46" s="14" t="s">
        <v>148</v>
      </c>
      <c r="D46" s="20"/>
      <c r="E46" s="18">
        <v>44328</v>
      </c>
      <c r="F46" s="23">
        <v>7062.3</v>
      </c>
      <c r="G46" s="23">
        <v>3960.3</v>
      </c>
      <c r="H46" s="23">
        <v>0</v>
      </c>
      <c r="I46" s="21"/>
      <c r="J46" s="18"/>
      <c r="K46" s="23">
        <f>3000-H46+F46</f>
        <v>10062.299999999999</v>
      </c>
      <c r="L46" s="21"/>
      <c r="M46" s="14"/>
      <c r="N46" s="27">
        <f>K46-A5</f>
        <v>2852.5999999999995</v>
      </c>
      <c r="O46" s="4" t="s">
        <v>36</v>
      </c>
      <c r="P46" s="16"/>
      <c r="Q46" s="7"/>
      <c r="R46" s="7"/>
    </row>
    <row r="47" spans="1:18" s="7" customFormat="1" x14ac:dyDescent="0.2">
      <c r="A47" s="24" t="s">
        <v>43</v>
      </c>
      <c r="B47" s="39"/>
      <c r="C47" s="25"/>
      <c r="D47" s="20"/>
      <c r="E47" s="26">
        <v>44328</v>
      </c>
      <c r="F47" s="27">
        <v>7062.3</v>
      </c>
      <c r="G47" s="27">
        <v>3960.3</v>
      </c>
      <c r="H47" s="27">
        <v>0</v>
      </c>
      <c r="I47" s="21"/>
      <c r="J47" s="26"/>
      <c r="K47" s="27">
        <f>1200+F47</f>
        <v>8262.2999999999993</v>
      </c>
      <c r="L47" s="21"/>
      <c r="M47" s="25"/>
      <c r="N47" s="27">
        <f>K47-A5</f>
        <v>1052.5999999999995</v>
      </c>
      <c r="O47" s="12" t="s">
        <v>38</v>
      </c>
      <c r="P47" s="16"/>
    </row>
    <row r="48" spans="1:18" x14ac:dyDescent="0.2">
      <c r="A48" s="13" t="s">
        <v>16</v>
      </c>
      <c r="B48" s="37" t="s">
        <v>122</v>
      </c>
      <c r="C48" s="14">
        <v>6335</v>
      </c>
      <c r="D48" s="20"/>
      <c r="E48" s="18">
        <v>42488</v>
      </c>
      <c r="F48" s="23">
        <v>6357</v>
      </c>
      <c r="G48" s="23">
        <v>0</v>
      </c>
      <c r="H48" s="14" t="s">
        <v>114</v>
      </c>
      <c r="I48" s="21"/>
      <c r="J48" s="30"/>
      <c r="K48" s="23" t="s">
        <v>133</v>
      </c>
      <c r="L48" s="21"/>
      <c r="M48" s="14"/>
      <c r="N48" s="27" t="s">
        <v>133</v>
      </c>
      <c r="O48" s="4" t="s">
        <v>37</v>
      </c>
      <c r="P48" s="16"/>
      <c r="Q48" s="7"/>
      <c r="R48" s="7"/>
    </row>
    <row r="49" spans="1:18" x14ac:dyDescent="0.2">
      <c r="A49" s="13" t="s">
        <v>17</v>
      </c>
      <c r="B49" s="37" t="s">
        <v>123</v>
      </c>
      <c r="C49" s="14" t="s">
        <v>124</v>
      </c>
      <c r="D49" s="20"/>
      <c r="E49" s="26">
        <v>38554</v>
      </c>
      <c r="F49" s="14">
        <v>4636.6000000000004</v>
      </c>
      <c r="G49" s="14" t="s">
        <v>125</v>
      </c>
      <c r="H49" s="23">
        <v>0</v>
      </c>
      <c r="I49" s="21"/>
      <c r="J49" s="18"/>
      <c r="K49" s="23">
        <f>5000-H49+F49</f>
        <v>9636.6</v>
      </c>
      <c r="L49" s="21"/>
      <c r="M49" s="14"/>
      <c r="N49" s="25">
        <f>K49-A5</f>
        <v>2426.9000000000005</v>
      </c>
      <c r="O49" s="4" t="s">
        <v>36</v>
      </c>
      <c r="P49" s="16"/>
      <c r="Q49" s="7"/>
      <c r="R49" s="7"/>
    </row>
    <row r="50" spans="1:18" x14ac:dyDescent="0.2">
      <c r="A50" s="13" t="s">
        <v>18</v>
      </c>
      <c r="B50" s="37" t="s">
        <v>126</v>
      </c>
      <c r="C50" s="14" t="s">
        <v>127</v>
      </c>
      <c r="D50" s="20"/>
      <c r="E50" s="26">
        <v>42488</v>
      </c>
      <c r="F50" s="23">
        <v>6357</v>
      </c>
      <c r="G50" s="23">
        <v>5234</v>
      </c>
      <c r="H50" s="23">
        <v>0</v>
      </c>
      <c r="I50" s="21"/>
      <c r="J50" s="18"/>
      <c r="K50" s="23">
        <f>1200+F50</f>
        <v>7557</v>
      </c>
      <c r="L50" s="21"/>
      <c r="M50" s="14"/>
      <c r="N50" s="27">
        <f>K50-A5</f>
        <v>347.30000000000018</v>
      </c>
      <c r="O50" s="4" t="s">
        <v>36</v>
      </c>
      <c r="P50" s="16"/>
      <c r="Q50" s="7"/>
      <c r="R50" s="7"/>
    </row>
    <row r="51" spans="1:18" x14ac:dyDescent="0.2">
      <c r="A51" s="13" t="s">
        <v>160</v>
      </c>
      <c r="B51" s="37" t="s">
        <v>130</v>
      </c>
      <c r="C51" s="14" t="s">
        <v>157</v>
      </c>
      <c r="D51" s="20"/>
      <c r="E51" s="26">
        <v>41514</v>
      </c>
      <c r="F51" s="23">
        <v>7209.7</v>
      </c>
      <c r="G51" s="23">
        <v>1072</v>
      </c>
      <c r="H51" s="14" t="s">
        <v>114</v>
      </c>
      <c r="I51" s="21"/>
      <c r="J51" s="18"/>
      <c r="K51" s="23">
        <f>2500-G51+F51</f>
        <v>8637.7000000000007</v>
      </c>
      <c r="L51" s="21"/>
      <c r="M51" s="14"/>
      <c r="N51" s="27">
        <f>K51-A5</f>
        <v>1428.0000000000009</v>
      </c>
      <c r="O51" s="4" t="s">
        <v>37</v>
      </c>
      <c r="P51" s="16"/>
      <c r="Q51" s="7"/>
      <c r="R51" s="7"/>
    </row>
    <row r="52" spans="1:18" x14ac:dyDescent="0.2">
      <c r="A52" s="13" t="s">
        <v>160</v>
      </c>
      <c r="B52" s="37" t="s">
        <v>130</v>
      </c>
      <c r="C52" s="14" t="s">
        <v>158</v>
      </c>
      <c r="D52" s="20"/>
      <c r="E52" s="26">
        <v>41514</v>
      </c>
      <c r="F52" s="23">
        <v>7209.7</v>
      </c>
      <c r="G52" s="23">
        <v>1072</v>
      </c>
      <c r="H52" s="14" t="s">
        <v>114</v>
      </c>
      <c r="I52" s="21"/>
      <c r="J52" s="18"/>
      <c r="K52" s="23">
        <f>2500-G52+F52</f>
        <v>8637.7000000000007</v>
      </c>
      <c r="L52" s="21"/>
      <c r="M52" s="14"/>
      <c r="N52" s="27">
        <f>K52-A5</f>
        <v>1428.0000000000009</v>
      </c>
      <c r="O52" s="4" t="s">
        <v>37</v>
      </c>
      <c r="P52" s="16"/>
      <c r="Q52" s="7"/>
      <c r="R52" s="7"/>
    </row>
    <row r="53" spans="1:18" s="7" customFormat="1" x14ac:dyDescent="0.2">
      <c r="A53" s="24" t="s">
        <v>129</v>
      </c>
      <c r="B53" s="38" t="s">
        <v>128</v>
      </c>
      <c r="C53" s="25" t="s">
        <v>159</v>
      </c>
      <c r="D53" s="20"/>
      <c r="E53" s="26">
        <v>41514</v>
      </c>
      <c r="F53" s="27">
        <v>7209.7</v>
      </c>
      <c r="G53" s="27">
        <v>195</v>
      </c>
      <c r="H53" s="25" t="s">
        <v>114</v>
      </c>
      <c r="I53" s="21"/>
      <c r="J53" s="26"/>
      <c r="K53" s="27">
        <f>1500-G53+F53</f>
        <v>8514.7000000000007</v>
      </c>
      <c r="L53" s="21"/>
      <c r="M53" s="25"/>
      <c r="N53" s="27">
        <f>K53-A5</f>
        <v>1305.0000000000009</v>
      </c>
      <c r="O53" s="12" t="s">
        <v>37</v>
      </c>
      <c r="P53" s="16"/>
    </row>
    <row r="54" spans="1:18" s="7" customFormat="1" x14ac:dyDescent="0.2">
      <c r="A54" s="24" t="s">
        <v>31</v>
      </c>
      <c r="B54" s="38" t="s">
        <v>181</v>
      </c>
      <c r="C54" s="25" t="s">
        <v>182</v>
      </c>
      <c r="D54" s="20"/>
      <c r="E54" s="26">
        <v>42977</v>
      </c>
      <c r="F54" s="27">
        <v>6657.2</v>
      </c>
      <c r="G54" s="27">
        <v>0</v>
      </c>
      <c r="H54" s="25" t="s">
        <v>114</v>
      </c>
      <c r="I54" s="21"/>
      <c r="J54" s="26"/>
      <c r="K54" s="27">
        <f>3000-G54+F54</f>
        <v>9657.2000000000007</v>
      </c>
      <c r="L54" s="21"/>
      <c r="M54" s="25"/>
      <c r="N54" s="27">
        <f>K54-A5</f>
        <v>2447.5000000000009</v>
      </c>
      <c r="O54" s="12" t="s">
        <v>37</v>
      </c>
      <c r="P54" s="16"/>
    </row>
    <row r="55" spans="1:18" s="7" customFormat="1" x14ac:dyDescent="0.2">
      <c r="A55" s="24" t="s">
        <v>41</v>
      </c>
      <c r="B55" s="38" t="s">
        <v>166</v>
      </c>
      <c r="C55" s="81" t="s">
        <v>201</v>
      </c>
      <c r="D55" s="20"/>
      <c r="E55" s="26">
        <v>43609</v>
      </c>
      <c r="F55" s="27">
        <v>6853</v>
      </c>
      <c r="G55" s="27">
        <v>1486.8</v>
      </c>
      <c r="H55" s="25" t="s">
        <v>114</v>
      </c>
      <c r="I55" s="21"/>
      <c r="J55" s="26"/>
      <c r="K55" s="27">
        <f>2400-G55+F55</f>
        <v>7766.2</v>
      </c>
      <c r="L55" s="21"/>
      <c r="M55" s="25"/>
      <c r="N55" s="27">
        <f>K55-A5</f>
        <v>556.5</v>
      </c>
      <c r="O55" s="12" t="s">
        <v>37</v>
      </c>
      <c r="P55" s="16"/>
    </row>
    <row r="56" spans="1:18" s="7" customFormat="1" x14ac:dyDescent="0.2">
      <c r="A56" s="24" t="s">
        <v>40</v>
      </c>
      <c r="B56" s="38" t="s">
        <v>166</v>
      </c>
      <c r="C56" s="25" t="s">
        <v>202</v>
      </c>
      <c r="D56" s="20"/>
      <c r="E56" s="26">
        <v>43609</v>
      </c>
      <c r="F56" s="27">
        <v>6853</v>
      </c>
      <c r="G56" s="27">
        <v>1486.8</v>
      </c>
      <c r="H56" s="25" t="s">
        <v>114</v>
      </c>
      <c r="I56" s="21"/>
      <c r="J56" s="26"/>
      <c r="K56" s="27">
        <f>2400-G56+F56</f>
        <v>7766.2</v>
      </c>
      <c r="L56" s="21"/>
      <c r="M56" s="25"/>
      <c r="N56" s="27">
        <f>K56-A5</f>
        <v>556.5</v>
      </c>
      <c r="O56" s="12" t="s">
        <v>37</v>
      </c>
      <c r="P56" s="16"/>
    </row>
    <row r="57" spans="1:18" s="7" customFormat="1" x14ac:dyDescent="0.2">
      <c r="A57" s="24" t="s">
        <v>19</v>
      </c>
      <c r="B57" s="38" t="s">
        <v>204</v>
      </c>
      <c r="C57" s="25" t="s">
        <v>114</v>
      </c>
      <c r="D57" s="20"/>
      <c r="E57" s="26">
        <v>43655</v>
      </c>
      <c r="F57" s="27">
        <v>6861.5</v>
      </c>
      <c r="G57" s="27">
        <v>0</v>
      </c>
      <c r="H57" s="25" t="s">
        <v>114</v>
      </c>
      <c r="I57" s="21"/>
      <c r="J57" s="26"/>
      <c r="K57" s="27">
        <f>600-G57+F57</f>
        <v>7461.5</v>
      </c>
      <c r="L57" s="21"/>
      <c r="M57" s="25"/>
      <c r="N57" s="27">
        <f>K57-A5</f>
        <v>251.80000000000018</v>
      </c>
      <c r="O57" s="12" t="s">
        <v>37</v>
      </c>
      <c r="P57" s="16"/>
    </row>
    <row r="58" spans="1:18" s="7" customFormat="1" x14ac:dyDescent="0.2">
      <c r="A58" s="24" t="s">
        <v>154</v>
      </c>
      <c r="B58" s="38" t="s">
        <v>269</v>
      </c>
      <c r="C58" s="91" t="s">
        <v>270</v>
      </c>
      <c r="D58" s="20"/>
      <c r="E58" s="26">
        <v>44328</v>
      </c>
      <c r="F58" s="27">
        <v>7062.3</v>
      </c>
      <c r="G58" s="27" t="s">
        <v>114</v>
      </c>
      <c r="H58" s="25" t="s">
        <v>114</v>
      </c>
      <c r="I58" s="21"/>
      <c r="J58" s="26">
        <v>44712</v>
      </c>
      <c r="K58" s="27"/>
      <c r="L58" s="21"/>
      <c r="M58" s="25">
        <f>DAYS360(M3,J58)</f>
        <v>251</v>
      </c>
      <c r="N58" s="25"/>
      <c r="O58" s="12" t="s">
        <v>38</v>
      </c>
      <c r="P58" s="16"/>
    </row>
    <row r="59" spans="1:18" x14ac:dyDescent="0.2">
      <c r="A59" s="13" t="s">
        <v>55</v>
      </c>
      <c r="B59" s="37" t="s">
        <v>271</v>
      </c>
      <c r="C59" s="14">
        <v>385923</v>
      </c>
      <c r="D59" s="20"/>
      <c r="E59" s="18">
        <v>44328</v>
      </c>
      <c r="F59" s="14">
        <v>7062.3</v>
      </c>
      <c r="G59" s="23">
        <v>0</v>
      </c>
      <c r="H59" s="14" t="s">
        <v>114</v>
      </c>
      <c r="I59" s="21"/>
      <c r="J59" s="18">
        <v>46568</v>
      </c>
      <c r="K59" s="23"/>
      <c r="L59" s="21"/>
      <c r="M59" s="81">
        <f>DAYS360(M3,J59)</f>
        <v>2080</v>
      </c>
      <c r="N59" s="25"/>
      <c r="O59" s="12" t="s">
        <v>37</v>
      </c>
      <c r="P59" s="16"/>
      <c r="Q59" s="7"/>
      <c r="R59" s="7"/>
    </row>
    <row r="60" spans="1:18" ht="2.25" customHeight="1" x14ac:dyDescent="0.2">
      <c r="A60" s="16"/>
      <c r="B60" s="16"/>
      <c r="C60" s="21"/>
      <c r="D60" s="20"/>
      <c r="E60" s="31"/>
      <c r="F60" s="21"/>
      <c r="G60" s="21"/>
      <c r="H60" s="21"/>
      <c r="I60" s="21"/>
      <c r="J60" s="31"/>
      <c r="K60" s="32"/>
      <c r="L60" s="21"/>
      <c r="M60" s="21"/>
      <c r="N60" s="21"/>
      <c r="O60" s="11"/>
      <c r="P60" s="16"/>
      <c r="Q60" s="7"/>
      <c r="R60" s="7"/>
    </row>
    <row r="61" spans="1:18" x14ac:dyDescent="0.2">
      <c r="A61" s="46" t="s">
        <v>52</v>
      </c>
      <c r="B61" s="46"/>
      <c r="C61" s="55"/>
      <c r="D61" s="63"/>
      <c r="E61" s="55" t="s">
        <v>25</v>
      </c>
      <c r="F61" s="46" t="s">
        <v>27</v>
      </c>
      <c r="G61" s="55" t="s">
        <v>23</v>
      </c>
      <c r="H61" s="55" t="s">
        <v>77</v>
      </c>
      <c r="I61" s="66"/>
      <c r="J61" s="71" t="s">
        <v>42</v>
      </c>
      <c r="K61" s="72" t="s">
        <v>27</v>
      </c>
      <c r="L61" s="66"/>
      <c r="M61" s="55" t="s">
        <v>90</v>
      </c>
      <c r="N61" s="55" t="s">
        <v>28</v>
      </c>
      <c r="O61" s="73" t="s">
        <v>35</v>
      </c>
      <c r="P61" s="16"/>
      <c r="Q61" s="7"/>
      <c r="R61" s="7"/>
    </row>
    <row r="62" spans="1:18" ht="3" customHeight="1" x14ac:dyDescent="0.2">
      <c r="A62" s="16"/>
      <c r="B62" s="16"/>
      <c r="C62" s="21"/>
      <c r="D62" s="20"/>
      <c r="E62" s="31"/>
      <c r="F62" s="21"/>
      <c r="G62" s="21"/>
      <c r="H62" s="21"/>
      <c r="I62" s="21"/>
      <c r="J62" s="31"/>
      <c r="K62" s="32"/>
      <c r="L62" s="21"/>
      <c r="M62" s="21"/>
      <c r="N62" s="21"/>
      <c r="O62" s="11"/>
      <c r="P62" s="16"/>
      <c r="Q62" s="7"/>
      <c r="R62" s="7"/>
    </row>
    <row r="63" spans="1:18" s="7" customFormat="1" ht="12" customHeight="1" x14ac:dyDescent="0.2">
      <c r="A63" s="24"/>
      <c r="B63" s="24"/>
      <c r="C63" s="25"/>
      <c r="D63" s="84"/>
      <c r="E63" s="26"/>
      <c r="F63" s="25"/>
      <c r="G63" s="25"/>
      <c r="H63" s="25"/>
      <c r="I63" s="83"/>
      <c r="J63" s="26"/>
      <c r="K63" s="27"/>
      <c r="L63" s="80"/>
      <c r="M63" s="19"/>
      <c r="N63" s="25"/>
      <c r="O63" s="12"/>
      <c r="P63" s="82"/>
    </row>
    <row r="64" spans="1:18" x14ac:dyDescent="0.2">
      <c r="A64" s="1" t="s">
        <v>206</v>
      </c>
      <c r="B64" s="1" t="s">
        <v>207</v>
      </c>
      <c r="C64" s="4" t="s">
        <v>208</v>
      </c>
      <c r="D64" s="20"/>
      <c r="E64" s="92">
        <v>44237</v>
      </c>
      <c r="F64" s="93" t="s">
        <v>272</v>
      </c>
      <c r="G64" s="39" t="s">
        <v>273</v>
      </c>
      <c r="H64" s="25"/>
      <c r="I64" s="21"/>
      <c r="J64" s="94" t="s">
        <v>209</v>
      </c>
      <c r="K64" s="95" t="s">
        <v>274</v>
      </c>
      <c r="L64" s="21"/>
      <c r="M64" s="19"/>
      <c r="N64" s="93"/>
      <c r="O64" s="4" t="s">
        <v>152</v>
      </c>
      <c r="P64" s="16"/>
      <c r="Q64" s="7"/>
      <c r="R64" s="7"/>
    </row>
    <row r="65" spans="1:18" x14ac:dyDescent="0.2">
      <c r="A65" s="1" t="s">
        <v>88</v>
      </c>
      <c r="B65" s="1" t="s">
        <v>205</v>
      </c>
      <c r="C65" s="14"/>
      <c r="D65" s="20"/>
      <c r="E65" s="26">
        <v>44237</v>
      </c>
      <c r="F65" s="14">
        <v>7062.3</v>
      </c>
      <c r="G65" s="25" t="s">
        <v>114</v>
      </c>
      <c r="H65" s="27">
        <f>A5-F65</f>
        <v>147.39999999999964</v>
      </c>
      <c r="I65" s="21"/>
      <c r="J65" s="35">
        <v>1000</v>
      </c>
      <c r="K65" s="27">
        <f>F65+J65</f>
        <v>8062.3</v>
      </c>
      <c r="L65" s="21"/>
      <c r="M65" s="19"/>
      <c r="N65" s="23">
        <f>K65-A5</f>
        <v>852.60000000000036</v>
      </c>
      <c r="O65" s="4" t="s">
        <v>89</v>
      </c>
      <c r="P65" s="16"/>
      <c r="Q65" s="7"/>
      <c r="R65" s="7"/>
    </row>
    <row r="66" spans="1:18" x14ac:dyDescent="0.2">
      <c r="A66" s="1" t="s">
        <v>151</v>
      </c>
      <c r="B66" s="37"/>
      <c r="C66" s="14"/>
      <c r="D66" s="20"/>
      <c r="E66" s="26">
        <v>44237</v>
      </c>
      <c r="F66" s="14">
        <v>7062.3</v>
      </c>
      <c r="G66" s="25" t="s">
        <v>114</v>
      </c>
      <c r="H66" s="25">
        <f>A5-F66</f>
        <v>147.39999999999964</v>
      </c>
      <c r="I66" s="21"/>
      <c r="J66" s="35">
        <v>1250</v>
      </c>
      <c r="K66" s="27">
        <f>F66+J66</f>
        <v>8312.2999999999993</v>
      </c>
      <c r="L66" s="21"/>
      <c r="M66" s="19"/>
      <c r="N66" s="23">
        <f>K66-A5</f>
        <v>1102.5999999999995</v>
      </c>
      <c r="O66" s="4" t="s">
        <v>152</v>
      </c>
      <c r="P66" s="16"/>
      <c r="Q66" s="7"/>
      <c r="R66" s="7"/>
    </row>
    <row r="67" spans="1:18" ht="3" customHeight="1" x14ac:dyDescent="0.2">
      <c r="A67" s="16"/>
      <c r="B67" s="16"/>
      <c r="C67" s="21"/>
      <c r="D67" s="20"/>
      <c r="E67" s="31"/>
      <c r="F67" s="21"/>
      <c r="G67" s="21"/>
      <c r="H67" s="21"/>
      <c r="I67" s="21"/>
      <c r="J67" s="36"/>
      <c r="K67" s="32"/>
      <c r="L67" s="21"/>
      <c r="M67" s="21"/>
      <c r="N67" s="21"/>
      <c r="O67" s="21"/>
      <c r="P67" s="16"/>
      <c r="Q67" s="7"/>
      <c r="R67" s="7"/>
    </row>
    <row r="68" spans="1:18" s="7" customFormat="1" ht="12.75" customHeight="1" x14ac:dyDescent="0.2">
      <c r="A68" s="61" t="s">
        <v>64</v>
      </c>
      <c r="B68" s="61"/>
      <c r="C68" s="62"/>
      <c r="D68" s="63"/>
      <c r="E68" s="64"/>
      <c r="F68" s="64" t="s">
        <v>63</v>
      </c>
      <c r="G68" s="65"/>
      <c r="H68" s="62"/>
      <c r="I68" s="66"/>
      <c r="J68" s="65" t="s">
        <v>62</v>
      </c>
      <c r="K68" s="67"/>
      <c r="L68" s="66"/>
      <c r="M68" s="68" t="s">
        <v>61</v>
      </c>
      <c r="N68" s="62"/>
      <c r="O68" s="25"/>
      <c r="P68" s="16"/>
    </row>
    <row r="69" spans="1:18" s="7" customFormat="1" ht="12.75" customHeight="1" x14ac:dyDescent="0.2">
      <c r="A69" s="62" t="s">
        <v>73</v>
      </c>
      <c r="B69" s="62"/>
      <c r="C69" s="62" t="s">
        <v>56</v>
      </c>
      <c r="D69" s="66"/>
      <c r="E69" s="62" t="s">
        <v>57</v>
      </c>
      <c r="F69" s="69" t="s">
        <v>58</v>
      </c>
      <c r="G69" s="62" t="s">
        <v>59</v>
      </c>
      <c r="H69" s="62"/>
      <c r="I69" s="66"/>
      <c r="J69" s="69" t="s">
        <v>58</v>
      </c>
      <c r="K69" s="62" t="s">
        <v>59</v>
      </c>
      <c r="L69" s="70"/>
      <c r="M69" s="67" t="s">
        <v>60</v>
      </c>
      <c r="N69" s="67" t="s">
        <v>59</v>
      </c>
      <c r="O69" s="25"/>
      <c r="P69" s="16"/>
    </row>
    <row r="70" spans="1:18" s="7" customFormat="1" ht="12.75" customHeight="1" x14ac:dyDescent="0.2">
      <c r="A70" s="28" t="s">
        <v>162</v>
      </c>
      <c r="B70" s="62"/>
      <c r="C70" s="44" t="s">
        <v>65</v>
      </c>
      <c r="D70" s="66"/>
      <c r="E70" s="25" t="s">
        <v>96</v>
      </c>
      <c r="F70" s="26">
        <v>44455</v>
      </c>
      <c r="G70" s="27">
        <v>7207.7</v>
      </c>
      <c r="H70" s="25"/>
      <c r="I70" s="21"/>
      <c r="J70" s="48"/>
      <c r="K70" s="27">
        <f>G70+25</f>
        <v>7232.7</v>
      </c>
      <c r="L70" s="36"/>
      <c r="M70" s="34"/>
      <c r="N70" s="27">
        <f>K70-A5</f>
        <v>23</v>
      </c>
      <c r="O70" s="25"/>
      <c r="P70" s="16"/>
    </row>
    <row r="71" spans="1:18" s="7" customFormat="1" ht="12.75" customHeight="1" x14ac:dyDescent="0.2">
      <c r="A71" s="28" t="s">
        <v>163</v>
      </c>
      <c r="B71" s="62"/>
      <c r="C71" s="44" t="s">
        <v>65</v>
      </c>
      <c r="D71" s="66"/>
      <c r="E71" s="25" t="s">
        <v>97</v>
      </c>
      <c r="F71" s="26">
        <v>44455</v>
      </c>
      <c r="G71" s="27">
        <v>7207.7</v>
      </c>
      <c r="H71" s="25"/>
      <c r="I71" s="21"/>
      <c r="J71" s="48"/>
      <c r="K71" s="27">
        <f>G71+50</f>
        <v>7257.7</v>
      </c>
      <c r="L71" s="36"/>
      <c r="M71" s="34"/>
      <c r="N71" s="27">
        <f>K71-A5</f>
        <v>48</v>
      </c>
      <c r="O71" s="25"/>
      <c r="P71" s="16"/>
      <c r="Q71" s="7" t="s">
        <v>156</v>
      </c>
    </row>
    <row r="72" spans="1:18" s="7" customFormat="1" ht="12.75" customHeight="1" x14ac:dyDescent="0.2">
      <c r="A72" s="28" t="s">
        <v>164</v>
      </c>
      <c r="B72" s="62"/>
      <c r="C72" s="44" t="s">
        <v>65</v>
      </c>
      <c r="D72" s="66"/>
      <c r="E72" s="25" t="s">
        <v>131</v>
      </c>
      <c r="F72" s="26">
        <v>44455</v>
      </c>
      <c r="G72" s="27">
        <v>7207.7</v>
      </c>
      <c r="H72" s="25"/>
      <c r="I72" s="21"/>
      <c r="J72" s="48"/>
      <c r="K72" s="27">
        <f>G72+75</f>
        <v>7282.7</v>
      </c>
      <c r="L72" s="36"/>
      <c r="M72" s="34"/>
      <c r="N72" s="27">
        <f>K72-A5</f>
        <v>73</v>
      </c>
      <c r="O72" s="25"/>
      <c r="P72" s="16"/>
    </row>
    <row r="73" spans="1:18" s="7" customFormat="1" ht="12.75" customHeight="1" x14ac:dyDescent="0.2">
      <c r="A73" s="13" t="s">
        <v>20</v>
      </c>
      <c r="B73" s="62"/>
      <c r="C73" s="44" t="s">
        <v>65</v>
      </c>
      <c r="D73" s="66"/>
      <c r="E73" s="25" t="s">
        <v>98</v>
      </c>
      <c r="F73" s="26">
        <v>44455</v>
      </c>
      <c r="G73" s="27">
        <v>7207.7</v>
      </c>
      <c r="H73" s="25" t="s">
        <v>156</v>
      </c>
      <c r="I73" s="21"/>
      <c r="J73" s="48"/>
      <c r="K73" s="27">
        <f>G73+150</f>
        <v>7357.7</v>
      </c>
      <c r="L73" s="36"/>
      <c r="M73" s="34"/>
      <c r="N73" s="27">
        <f>K73-A5</f>
        <v>148</v>
      </c>
      <c r="O73" s="25"/>
      <c r="P73" s="16"/>
    </row>
    <row r="74" spans="1:18" s="7" customFormat="1" ht="12.75" customHeight="1" x14ac:dyDescent="0.2">
      <c r="A74" s="28" t="s">
        <v>74</v>
      </c>
      <c r="B74" s="25"/>
      <c r="C74" s="74" t="s">
        <v>93</v>
      </c>
      <c r="D74" s="21"/>
      <c r="E74" s="74" t="s">
        <v>94</v>
      </c>
      <c r="F74" s="26">
        <v>44429</v>
      </c>
      <c r="G74" s="27">
        <v>7160.1</v>
      </c>
      <c r="H74" s="25"/>
      <c r="I74" s="21"/>
      <c r="J74" s="48"/>
      <c r="K74" s="27">
        <f>G74+100</f>
        <v>7260.1</v>
      </c>
      <c r="L74" s="36"/>
      <c r="M74" s="34"/>
      <c r="N74" s="27">
        <f>K74-A5</f>
        <v>50.400000000000546</v>
      </c>
      <c r="O74" s="25"/>
      <c r="P74" s="16"/>
    </row>
    <row r="75" spans="1:18" s="7" customFormat="1" ht="12.75" customHeight="1" x14ac:dyDescent="0.2">
      <c r="A75" s="28" t="s">
        <v>74</v>
      </c>
      <c r="B75" s="25"/>
      <c r="C75" s="74" t="s">
        <v>93</v>
      </c>
      <c r="D75" s="21"/>
      <c r="E75" s="74" t="s">
        <v>95</v>
      </c>
      <c r="F75" s="26">
        <v>44328</v>
      </c>
      <c r="G75" s="27">
        <v>7062.3</v>
      </c>
      <c r="H75" s="25"/>
      <c r="I75" s="21"/>
      <c r="J75" s="48"/>
      <c r="K75" s="27">
        <f>G75+300</f>
        <v>7362.3</v>
      </c>
      <c r="L75" s="36"/>
      <c r="M75" s="34"/>
      <c r="N75" s="27">
        <f>K75-A5</f>
        <v>152.60000000000036</v>
      </c>
      <c r="O75" s="25"/>
      <c r="P75" s="16"/>
    </row>
    <row r="76" spans="1:18" s="7" customFormat="1" ht="12.75" customHeight="1" x14ac:dyDescent="0.2">
      <c r="A76" s="24" t="s">
        <v>66</v>
      </c>
      <c r="B76" s="24"/>
      <c r="C76" s="44" t="s">
        <v>65</v>
      </c>
      <c r="D76" s="20"/>
      <c r="E76" s="26" t="s">
        <v>69</v>
      </c>
      <c r="F76" s="45">
        <v>43851</v>
      </c>
      <c r="G76" s="19"/>
      <c r="H76" s="25"/>
      <c r="I76" s="21"/>
      <c r="J76" s="45">
        <f>F76+730</f>
        <v>44581</v>
      </c>
      <c r="K76" s="34"/>
      <c r="L76" s="21"/>
      <c r="M76" s="29">
        <f>DAYS360(M3,J76)</f>
        <v>120</v>
      </c>
      <c r="N76" s="19"/>
      <c r="O76" s="25"/>
      <c r="P76" s="16"/>
    </row>
    <row r="77" spans="1:18" s="7" customFormat="1" ht="12.75" customHeight="1" x14ac:dyDescent="0.2">
      <c r="A77" s="28" t="s">
        <v>161</v>
      </c>
      <c r="B77" s="24"/>
      <c r="C77" s="44"/>
      <c r="D77" s="20"/>
      <c r="E77" s="26" t="s">
        <v>69</v>
      </c>
      <c r="F77" s="45">
        <v>43851</v>
      </c>
      <c r="G77" s="19"/>
      <c r="H77" s="25"/>
      <c r="I77" s="21"/>
      <c r="J77" s="45">
        <f>F77+730</f>
        <v>44581</v>
      </c>
      <c r="K77" s="34"/>
      <c r="L77" s="21"/>
      <c r="M77" s="29">
        <f>DAYS360(M3,J77)</f>
        <v>120</v>
      </c>
      <c r="N77" s="19"/>
      <c r="O77" s="25"/>
      <c r="P77" s="16"/>
    </row>
    <row r="78" spans="1:18" s="7" customFormat="1" ht="12.75" customHeight="1" x14ac:dyDescent="0.2">
      <c r="A78" s="24" t="s">
        <v>67</v>
      </c>
      <c r="B78" s="24"/>
      <c r="C78" s="44" t="s">
        <v>153</v>
      </c>
      <c r="D78" s="20"/>
      <c r="E78" s="26" t="s">
        <v>69</v>
      </c>
      <c r="F78" s="45">
        <v>44312</v>
      </c>
      <c r="G78" s="19"/>
      <c r="H78" s="25"/>
      <c r="I78" s="21"/>
      <c r="J78" s="45">
        <f>F78+730</f>
        <v>45042</v>
      </c>
      <c r="K78" s="34"/>
      <c r="L78" s="21"/>
      <c r="M78" s="29">
        <f>DAYS360(M3,J78)</f>
        <v>576</v>
      </c>
      <c r="N78" s="19"/>
      <c r="O78" s="25"/>
      <c r="P78" s="16"/>
    </row>
    <row r="79" spans="1:18" s="7" customFormat="1" ht="12.75" customHeight="1" x14ac:dyDescent="0.2">
      <c r="A79" s="24" t="s">
        <v>82</v>
      </c>
      <c r="B79" s="24"/>
      <c r="C79" s="44" t="s">
        <v>65</v>
      </c>
      <c r="D79" s="20"/>
      <c r="E79" s="26" t="s">
        <v>68</v>
      </c>
      <c r="F79" s="45">
        <v>44328</v>
      </c>
      <c r="G79" s="19"/>
      <c r="H79" s="25"/>
      <c r="I79" s="21"/>
      <c r="J79" s="45">
        <f t="shared" ref="J79:J85" si="0">F79+365</f>
        <v>44693</v>
      </c>
      <c r="K79" s="34"/>
      <c r="L79" s="21"/>
      <c r="M79" s="29">
        <f>DAYS360(M3,J79)</f>
        <v>232</v>
      </c>
      <c r="N79" s="19"/>
      <c r="O79" s="25"/>
      <c r="P79" s="16"/>
    </row>
    <row r="80" spans="1:18" s="7" customFormat="1" ht="12.75" customHeight="1" x14ac:dyDescent="0.2">
      <c r="A80" s="24" t="s">
        <v>83</v>
      </c>
      <c r="B80" s="24"/>
      <c r="C80" s="44" t="s">
        <v>65</v>
      </c>
      <c r="D80" s="20"/>
      <c r="E80" s="26" t="s">
        <v>68</v>
      </c>
      <c r="F80" s="45">
        <v>44328</v>
      </c>
      <c r="G80" s="19"/>
      <c r="H80" s="25"/>
      <c r="I80" s="21"/>
      <c r="J80" s="45">
        <f t="shared" si="0"/>
        <v>44693</v>
      </c>
      <c r="K80" s="34"/>
      <c r="L80" s="21"/>
      <c r="M80" s="29">
        <f>DAYS360(M3,J80)</f>
        <v>232</v>
      </c>
      <c r="N80" s="19"/>
      <c r="O80" s="25"/>
      <c r="P80" s="16"/>
    </row>
    <row r="81" spans="1:16" s="7" customFormat="1" ht="12.75" customHeight="1" x14ac:dyDescent="0.2">
      <c r="A81" s="24" t="s">
        <v>84</v>
      </c>
      <c r="B81" s="24"/>
      <c r="C81" s="44" t="s">
        <v>65</v>
      </c>
      <c r="D81" s="20"/>
      <c r="E81" s="26" t="s">
        <v>68</v>
      </c>
      <c r="F81" s="45">
        <v>44328</v>
      </c>
      <c r="G81" s="19"/>
      <c r="H81" s="25"/>
      <c r="I81" s="21"/>
      <c r="J81" s="45">
        <f t="shared" si="0"/>
        <v>44693</v>
      </c>
      <c r="K81" s="34"/>
      <c r="L81" s="21"/>
      <c r="M81" s="29">
        <f>DAYS360(M3,J81)</f>
        <v>232</v>
      </c>
      <c r="N81" s="19"/>
      <c r="O81" s="25"/>
      <c r="P81" s="16"/>
    </row>
    <row r="82" spans="1:16" s="7" customFormat="1" ht="12.75" customHeight="1" x14ac:dyDescent="0.2">
      <c r="A82" s="24" t="s">
        <v>85</v>
      </c>
      <c r="B82" s="24"/>
      <c r="C82" s="44" t="s">
        <v>65</v>
      </c>
      <c r="D82" s="20"/>
      <c r="E82" s="26" t="s">
        <v>68</v>
      </c>
      <c r="F82" s="45">
        <v>44328</v>
      </c>
      <c r="G82" s="19"/>
      <c r="H82" s="25"/>
      <c r="I82" s="21"/>
      <c r="J82" s="45">
        <f t="shared" si="0"/>
        <v>44693</v>
      </c>
      <c r="K82" s="34"/>
      <c r="L82" s="21"/>
      <c r="M82" s="29">
        <f>DAYS360(M3,J82)</f>
        <v>232</v>
      </c>
      <c r="N82" s="19"/>
      <c r="O82" s="25"/>
      <c r="P82" s="16"/>
    </row>
    <row r="83" spans="1:16" s="7" customFormat="1" ht="12.75" customHeight="1" x14ac:dyDescent="0.2">
      <c r="A83" s="24" t="s">
        <v>70</v>
      </c>
      <c r="B83" s="24"/>
      <c r="C83" s="44" t="s">
        <v>65</v>
      </c>
      <c r="D83" s="20"/>
      <c r="E83" s="26" t="s">
        <v>68</v>
      </c>
      <c r="F83" s="45">
        <v>44328</v>
      </c>
      <c r="G83" s="19"/>
      <c r="H83" s="25"/>
      <c r="I83" s="21"/>
      <c r="J83" s="45">
        <f t="shared" si="0"/>
        <v>44693</v>
      </c>
      <c r="K83" s="34"/>
      <c r="L83" s="21"/>
      <c r="M83" s="29">
        <f>DAYS360(M3,J83)</f>
        <v>232</v>
      </c>
      <c r="N83" s="19"/>
      <c r="O83" s="25"/>
      <c r="P83" s="16"/>
    </row>
    <row r="84" spans="1:16" s="7" customFormat="1" ht="12.75" customHeight="1" x14ac:dyDescent="0.2">
      <c r="A84" s="24" t="s">
        <v>71</v>
      </c>
      <c r="B84" s="24"/>
      <c r="C84" s="44" t="s">
        <v>65</v>
      </c>
      <c r="D84" s="20"/>
      <c r="E84" s="26" t="s">
        <v>68</v>
      </c>
      <c r="F84" s="45">
        <v>44328</v>
      </c>
      <c r="G84" s="19"/>
      <c r="H84" s="25"/>
      <c r="I84" s="21"/>
      <c r="J84" s="45">
        <f t="shared" si="0"/>
        <v>44693</v>
      </c>
      <c r="K84" s="34"/>
      <c r="L84" s="21"/>
      <c r="M84" s="29">
        <f>DAYS360(M3,J84)</f>
        <v>232</v>
      </c>
      <c r="N84" s="19"/>
      <c r="O84" s="25"/>
      <c r="P84" s="16"/>
    </row>
    <row r="85" spans="1:16" s="7" customFormat="1" ht="12.75" customHeight="1" x14ac:dyDescent="0.2">
      <c r="A85" s="24" t="s">
        <v>72</v>
      </c>
      <c r="B85" s="24"/>
      <c r="C85" s="44" t="s">
        <v>65</v>
      </c>
      <c r="D85" s="20"/>
      <c r="E85" s="26" t="s">
        <v>68</v>
      </c>
      <c r="F85" s="45">
        <v>44328</v>
      </c>
      <c r="G85" s="19"/>
      <c r="H85" s="25"/>
      <c r="I85" s="21"/>
      <c r="J85" s="45">
        <f t="shared" si="0"/>
        <v>44693</v>
      </c>
      <c r="K85" s="34"/>
      <c r="L85" s="21"/>
      <c r="M85" s="29">
        <f>DAYS360(M3,J85)</f>
        <v>232</v>
      </c>
      <c r="N85" s="19"/>
      <c r="O85" s="25"/>
      <c r="P85" s="16"/>
    </row>
    <row r="86" spans="1:16" s="7" customFormat="1" ht="4.5" customHeight="1" x14ac:dyDescent="0.2">
      <c r="A86" s="16"/>
      <c r="B86" s="16"/>
      <c r="C86" s="75"/>
      <c r="D86" s="20"/>
      <c r="E86" s="31"/>
      <c r="F86" s="21"/>
      <c r="G86" s="21"/>
      <c r="H86" s="21"/>
      <c r="I86" s="21"/>
      <c r="J86" s="76"/>
      <c r="K86" s="32"/>
      <c r="L86" s="21"/>
      <c r="M86" s="77"/>
      <c r="N86" s="32"/>
      <c r="O86" s="21"/>
      <c r="P86" s="16"/>
    </row>
    <row r="87" spans="1:16" x14ac:dyDescent="0.2">
      <c r="A87" s="60" t="s">
        <v>86</v>
      </c>
      <c r="B87" s="43" t="s">
        <v>101</v>
      </c>
      <c r="C87" s="8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6" x14ac:dyDescent="0.2">
      <c r="A88" s="60" t="s">
        <v>87</v>
      </c>
      <c r="B88" s="43" t="s">
        <v>102</v>
      </c>
      <c r="C88" s="8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6" x14ac:dyDescent="0.2">
      <c r="B89" s="43" t="s">
        <v>39</v>
      </c>
      <c r="C89" s="8"/>
      <c r="D89" s="9"/>
      <c r="E89" s="8"/>
      <c r="F89" s="8"/>
      <c r="G89" s="8"/>
      <c r="H89" s="8"/>
      <c r="I89" s="8"/>
      <c r="J89" s="8"/>
      <c r="K89" s="8"/>
      <c r="L89" s="8"/>
      <c r="M89" s="8"/>
    </row>
    <row r="90" spans="1:16" x14ac:dyDescent="0.2">
      <c r="B90" s="1"/>
    </row>
    <row r="99" spans="2:15" ht="15" x14ac:dyDescent="0.2">
      <c r="B99" s="85"/>
      <c r="C99" s="85"/>
      <c r="D99" s="86"/>
      <c r="E99" s="85"/>
      <c r="F99" s="85"/>
      <c r="J99" s="85"/>
      <c r="K99" s="85"/>
      <c r="L99" s="86"/>
      <c r="M99" s="85"/>
    </row>
    <row r="100" spans="2:15" ht="15" x14ac:dyDescent="0.2">
      <c r="B100" s="85"/>
      <c r="C100" s="85"/>
      <c r="D100" s="86"/>
      <c r="E100" s="85"/>
      <c r="F100" s="85"/>
      <c r="J100" s="85"/>
      <c r="K100" s="85"/>
      <c r="L100" s="86"/>
      <c r="M100" s="85"/>
    </row>
    <row r="101" spans="2:15" ht="15" x14ac:dyDescent="0.2">
      <c r="B101" s="85"/>
      <c r="C101" s="85"/>
      <c r="D101" s="86"/>
      <c r="E101" s="85"/>
      <c r="F101" s="85"/>
      <c r="J101" s="85"/>
      <c r="K101" s="85"/>
      <c r="L101" s="86"/>
      <c r="M101" s="85"/>
    </row>
    <row r="102" spans="2:15" ht="15" x14ac:dyDescent="0.2">
      <c r="B102" s="85"/>
      <c r="E102" s="85"/>
      <c r="G102" s="85"/>
      <c r="J102" s="85"/>
      <c r="L102" s="6"/>
      <c r="M102" s="85"/>
      <c r="O102" s="87"/>
    </row>
  </sheetData>
  <phoneticPr fontId="0" type="noConversion"/>
  <conditionalFormatting sqref="N10:N29 N32:N47 N51:N57 N49">
    <cfRule type="cellIs" dxfId="5" priority="9" operator="lessThan">
      <formula>100</formula>
    </cfRule>
  </conditionalFormatting>
  <conditionalFormatting sqref="N65:N66">
    <cfRule type="cellIs" dxfId="4" priority="4" operator="lessThan">
      <formula>100</formula>
    </cfRule>
  </conditionalFormatting>
  <conditionalFormatting sqref="N70:N72">
    <cfRule type="cellIs" dxfId="3" priority="3" operator="lessThan">
      <formula>5</formula>
    </cfRule>
  </conditionalFormatting>
  <conditionalFormatting sqref="N73:N74">
    <cfRule type="cellIs" dxfId="2" priority="2" operator="lessThan">
      <formula>10</formula>
    </cfRule>
  </conditionalFormatting>
  <conditionalFormatting sqref="N75">
    <cfRule type="cellIs" dxfId="1" priority="1" operator="lessThan">
      <formula>10</formula>
    </cfRule>
  </conditionalFormatting>
  <printOptions horizontalCentered="1" gridLines="1"/>
  <pageMargins left="0.75" right="0.75" top="1.75" bottom="1.25" header="0.5" footer="0"/>
  <pageSetup scale="59" fitToHeight="3" orientation="portrait" horizontalDpi="360" verticalDpi="360" r:id="rId1"/>
  <headerFooter alignWithMargins="0">
    <oddHeader>&amp;L&amp;"Comic Sans MS,Bold Italic"&amp;14
UH-1H
N40729
S/N 69-15233
MFG S/N 046&amp;C&amp;"Comic Sans MS,Bold Italic"&amp;20Central Valley Helicopters&amp;R&amp;"Comic Sans MS,Bold Italic"&amp;14
Printed: &amp;D
&amp;T</oddHeader>
    <oddFooter>&amp;C&amp;"Comic Sans MS,Bold Italic"&amp;12All Data is Certified True and Correct per Historical Records on File __________________________&amp;R&amp;P OF &amp;N</oddFooter>
  </headerFooter>
  <ignoredErrors>
    <ignoredError sqref="K25 K37 K39 K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2"/>
  <sheetViews>
    <sheetView zoomScale="85" workbookViewId="0">
      <selection activeCell="D13" sqref="D13"/>
    </sheetView>
  </sheetViews>
  <sheetFormatPr defaultRowHeight="12.75" x14ac:dyDescent="0.2"/>
  <cols>
    <col min="1" max="1" width="27.7109375" style="10" bestFit="1" customWidth="1"/>
    <col min="2" max="2" width="15.42578125" style="41" bestFit="1" customWidth="1"/>
    <col min="3" max="3" width="13.7109375" style="10" bestFit="1" customWidth="1"/>
    <col min="4" max="4" width="7.42578125" style="10" bestFit="1" customWidth="1"/>
    <col min="5" max="5" width="17.85546875" style="46" bestFit="1" customWidth="1"/>
    <col min="6" max="6" width="7.140625" bestFit="1" customWidth="1"/>
  </cols>
  <sheetData>
    <row r="1" spans="1:6" x14ac:dyDescent="0.2">
      <c r="A1" s="55" t="s">
        <v>21</v>
      </c>
      <c r="B1" s="56" t="s">
        <v>75</v>
      </c>
      <c r="C1" s="55" t="s">
        <v>28</v>
      </c>
      <c r="D1" s="55"/>
      <c r="E1" s="55"/>
      <c r="F1" s="55"/>
    </row>
    <row r="2" spans="1:6" x14ac:dyDescent="0.2">
      <c r="A2" s="55"/>
      <c r="B2" s="56" t="s">
        <v>76</v>
      </c>
      <c r="C2" s="55" t="s">
        <v>80</v>
      </c>
      <c r="D2" s="55"/>
      <c r="E2" s="55"/>
      <c r="F2" s="55"/>
    </row>
    <row r="3" spans="1:6" x14ac:dyDescent="0.2">
      <c r="A3" s="28" t="e">
        <f>'Page 1'!#REF!</f>
        <v>#REF!</v>
      </c>
      <c r="B3" s="57">
        <v>2500</v>
      </c>
      <c r="C3" s="58" t="e">
        <f>'Page 1'!#REF!</f>
        <v>#REF!</v>
      </c>
      <c r="D3" s="58"/>
      <c r="E3" s="58"/>
      <c r="F3" s="14"/>
    </row>
    <row r="4" spans="1:6" x14ac:dyDescent="0.2">
      <c r="A4" s="28" t="str">
        <f>'Page 1'!A53</f>
        <v>YOKE ASSY, T/R</v>
      </c>
      <c r="B4" s="57">
        <v>7800</v>
      </c>
      <c r="C4" s="58">
        <f>'Page 1'!N53</f>
        <v>1305.0000000000009</v>
      </c>
      <c r="D4" s="58"/>
      <c r="E4" s="58"/>
      <c r="F4" s="14"/>
    </row>
    <row r="5" spans="1:6" x14ac:dyDescent="0.2">
      <c r="A5" s="28" t="str">
        <f>'Page 1'!A33</f>
        <v>MAIN TRANSMISSION</v>
      </c>
      <c r="B5" s="59">
        <v>63000</v>
      </c>
      <c r="C5" s="58">
        <f>'Page 1'!N33</f>
        <v>1498.6999999999998</v>
      </c>
      <c r="D5" s="58"/>
      <c r="E5" s="58"/>
      <c r="F5" s="14"/>
    </row>
    <row r="6" spans="1:6" x14ac:dyDescent="0.2">
      <c r="A6" s="28" t="str">
        <f>'Page 1'!A32</f>
        <v>ROTATING BOLTS</v>
      </c>
      <c r="B6" s="57">
        <v>1200</v>
      </c>
      <c r="C6" s="58">
        <f>'Page 1'!N32</f>
        <v>381.19999999999982</v>
      </c>
      <c r="D6" s="58"/>
      <c r="E6" s="58"/>
      <c r="F6" s="14"/>
    </row>
    <row r="7" spans="1:6" x14ac:dyDescent="0.2">
      <c r="A7" s="28" t="str">
        <f>'Page 1'!A35</f>
        <v>1ST HANGER ASSY</v>
      </c>
      <c r="B7" s="59">
        <v>1500</v>
      </c>
      <c r="C7" s="58">
        <f>'Page 1'!N35</f>
        <v>452.60000000000036</v>
      </c>
      <c r="D7" s="58"/>
      <c r="E7" s="58"/>
      <c r="F7" s="14"/>
    </row>
    <row r="8" spans="1:6" x14ac:dyDescent="0.2">
      <c r="A8" s="28" t="str">
        <f>'Page 1'!A37</f>
        <v>2ND HANGER ASSY</v>
      </c>
      <c r="B8" s="59">
        <v>1500</v>
      </c>
      <c r="C8" s="58">
        <f>'Page 1'!N37</f>
        <v>452.60000000000036</v>
      </c>
      <c r="D8" s="58"/>
      <c r="E8" s="58"/>
      <c r="F8" s="14"/>
    </row>
    <row r="9" spans="1:6" x14ac:dyDescent="0.2">
      <c r="A9" s="28" t="str">
        <f>'Page 1'!A39</f>
        <v>3RD HANGER ASSY</v>
      </c>
      <c r="B9" s="59">
        <v>1500</v>
      </c>
      <c r="C9" s="58">
        <f>'Page 1'!N39</f>
        <v>452.60000000000036</v>
      </c>
      <c r="D9" s="58"/>
      <c r="E9" s="58"/>
      <c r="F9" s="14"/>
    </row>
    <row r="10" spans="1:6" x14ac:dyDescent="0.2">
      <c r="A10" s="28" t="str">
        <f>'Page 1'!A41</f>
        <v>4TH HANGER ASSY</v>
      </c>
      <c r="B10" s="57">
        <v>1500</v>
      </c>
      <c r="C10" s="58">
        <f>'Page 1'!N41</f>
        <v>452.60000000000036</v>
      </c>
      <c r="D10" s="58"/>
      <c r="E10" s="58"/>
      <c r="F10" s="14"/>
    </row>
    <row r="11" spans="1:6" x14ac:dyDescent="0.2">
      <c r="A11" s="22" t="e">
        <f>'Page 1'!#REF!</f>
        <v>#REF!</v>
      </c>
      <c r="B11" s="59">
        <v>500</v>
      </c>
      <c r="C11" s="58" t="e">
        <f>'Page 1'!#REF!</f>
        <v>#REF!</v>
      </c>
      <c r="D11" s="58"/>
      <c r="E11" s="58"/>
      <c r="F11" s="14"/>
    </row>
    <row r="12" spans="1:6" x14ac:dyDescent="0.2">
      <c r="A12" s="28" t="str">
        <f>'Page 1'!A49</f>
        <v>42 DEGREE GEARBOX</v>
      </c>
      <c r="B12" s="59">
        <v>7500</v>
      </c>
      <c r="C12" s="58">
        <f>'Page 1'!N49</f>
        <v>2426.9000000000005</v>
      </c>
      <c r="D12" s="58"/>
      <c r="E12" s="58"/>
      <c r="F12" s="14"/>
    </row>
    <row r="13" spans="1:6" x14ac:dyDescent="0.2">
      <c r="A13" s="28" t="str">
        <f>'Page 1'!A50</f>
        <v>90 DEGREE GEARBOX</v>
      </c>
      <c r="B13" s="59">
        <v>9000</v>
      </c>
      <c r="C13" s="58">
        <f>'Page 1'!N50</f>
        <v>347.30000000000018</v>
      </c>
      <c r="D13" s="58"/>
      <c r="E13" s="58"/>
      <c r="F13" s="14"/>
    </row>
    <row r="14" spans="1:6" x14ac:dyDescent="0.2">
      <c r="A14" s="28" t="str">
        <f>'Page 1'!A55</f>
        <v>BLADE; T/R     WHITE</v>
      </c>
      <c r="B14" s="59">
        <v>5700</v>
      </c>
      <c r="C14" s="58">
        <f>'Page 1'!N55</f>
        <v>556.5</v>
      </c>
      <c r="D14" s="58"/>
      <c r="E14" s="58"/>
      <c r="F14" s="14"/>
    </row>
    <row r="15" spans="1:6" x14ac:dyDescent="0.2">
      <c r="A15" s="28" t="str">
        <f>'Page 1'!A56</f>
        <v>BLADE; T/R     RED</v>
      </c>
      <c r="B15" s="59">
        <v>5700</v>
      </c>
      <c r="C15" s="58">
        <f>'Page 1'!N56</f>
        <v>556.5</v>
      </c>
      <c r="D15" s="58"/>
      <c r="E15" s="58"/>
      <c r="F15" s="14"/>
    </row>
    <row r="16" spans="1:6" x14ac:dyDescent="0.2">
      <c r="A16" s="28" t="str">
        <f>'Page 1'!A22</f>
        <v>SCISSORS &amp; SLEEVE</v>
      </c>
      <c r="B16" s="59">
        <v>6500</v>
      </c>
      <c r="C16" s="58">
        <f>'Page 1'!N22</f>
        <v>387.60000000000036</v>
      </c>
      <c r="D16" s="58"/>
      <c r="E16" s="58"/>
      <c r="F16" s="14"/>
    </row>
    <row r="17" spans="1:6" x14ac:dyDescent="0.2">
      <c r="A17" s="28" t="str">
        <f>'Page 1'!A10</f>
        <v>STABILIZAR BAR FRAME</v>
      </c>
      <c r="B17" s="59">
        <v>4500</v>
      </c>
      <c r="C17" s="58">
        <f>'Page 1'!N10</f>
        <v>8988.2999999999993</v>
      </c>
      <c r="D17" s="58"/>
      <c r="E17" s="58"/>
      <c r="F17" s="14"/>
    </row>
    <row r="18" spans="1:6" x14ac:dyDescent="0.2">
      <c r="A18" s="28" t="s">
        <v>78</v>
      </c>
      <c r="B18" s="59">
        <v>26000</v>
      </c>
      <c r="C18" s="58">
        <f>'Page 1'!N13</f>
        <v>387.60000000000036</v>
      </c>
      <c r="D18" s="58"/>
      <c r="E18" s="58"/>
      <c r="F18" s="14"/>
    </row>
    <row r="19" spans="1:6" x14ac:dyDescent="0.2">
      <c r="A19" s="28" t="str">
        <f>'Page 1'!A47</f>
        <v xml:space="preserve">       ENGINE, HOT END INSP.</v>
      </c>
      <c r="B19" s="59">
        <v>8000</v>
      </c>
      <c r="C19" s="58">
        <f>'Page 1'!N47</f>
        <v>1052.5999999999995</v>
      </c>
      <c r="D19" s="58"/>
      <c r="E19" s="58"/>
      <c r="F19" s="14"/>
    </row>
    <row r="20" spans="1:6" x14ac:dyDescent="0.2">
      <c r="A20" s="28" t="str">
        <f>'Page 1'!A29</f>
        <v>MAST ASSEMBLY</v>
      </c>
      <c r="B20" s="59">
        <v>19000</v>
      </c>
      <c r="C20" s="58">
        <f>'Page 1'!N29</f>
        <v>1500.0000000000009</v>
      </c>
      <c r="D20" s="58"/>
      <c r="E20" s="58"/>
      <c r="F20" s="14"/>
    </row>
    <row r="21" spans="1:6" x14ac:dyDescent="0.2">
      <c r="A21" s="22"/>
      <c r="B21" s="59"/>
      <c r="C21" s="14"/>
      <c r="D21" s="58"/>
      <c r="E21" s="14"/>
      <c r="F21" s="14"/>
    </row>
    <row r="22" spans="1:6" x14ac:dyDescent="0.2">
      <c r="A22" s="55" t="s">
        <v>54</v>
      </c>
      <c r="B22" s="59">
        <f>SUM(B3:B20)</f>
        <v>172900</v>
      </c>
      <c r="C22" s="14"/>
      <c r="D22" s="14"/>
      <c r="F22" s="13"/>
    </row>
  </sheetData>
  <phoneticPr fontId="0" type="noConversion"/>
  <printOptions horizontalCentered="1" verticalCentered="1" gridLines="1"/>
  <pageMargins left="0.75" right="0.75" top="1" bottom="1" header="0.5" footer="0.5"/>
  <pageSetup orientation="landscape" horizontalDpi="360" r:id="rId1"/>
  <headerFooter alignWithMargins="0">
    <oddHeader>&amp;C&amp;"Comic Sans MS,Bold Italic"&amp;18Columbia Basin Helicopters, Inc.
N143SP SCHEDULED COMPONENTS COST PROJECTIONS&amp;R&amp;"Arial,Bold Italic"&amp;16&amp;D
&amp;T</oddHeader>
    <oddFooter>&amp;C&amp;12ALL DOLLAR QUOTES (EXCEPT ENGINES) ARE "IN" SHOP ESTIMATES ADD 20% TO 40% FOR OUTSIDE SUPPORT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workbookViewId="0">
      <selection activeCell="O22" sqref="O22"/>
    </sheetView>
  </sheetViews>
  <sheetFormatPr defaultRowHeight="12.75" x14ac:dyDescent="0.2"/>
  <cols>
    <col min="1" max="1" width="16.85546875" customWidth="1"/>
    <col min="2" max="2" width="11.5703125" customWidth="1"/>
    <col min="3" max="3" width="14.42578125" customWidth="1"/>
    <col min="4" max="4" width="10.5703125" customWidth="1"/>
    <col min="5" max="5" width="11.28515625" customWidth="1"/>
    <col min="6" max="6" width="10.5703125" customWidth="1"/>
    <col min="7" max="7" width="8.28515625" customWidth="1"/>
    <col min="8" max="8" width="7.85546875" customWidth="1"/>
    <col min="9" max="9" width="8.28515625" customWidth="1"/>
    <col min="10" max="10" width="9.5703125" customWidth="1"/>
    <col min="11" max="11" width="12.5703125" customWidth="1"/>
    <col min="12" max="12" width="10.140625" customWidth="1"/>
    <col min="13" max="13" width="9.42578125" customWidth="1"/>
    <col min="15" max="15" width="13.28515625" customWidth="1"/>
  </cols>
  <sheetData>
    <row r="1" spans="1:16" x14ac:dyDescent="0.2">
      <c r="A1" s="13"/>
      <c r="B1" s="55" t="s">
        <v>50</v>
      </c>
      <c r="C1" s="13"/>
      <c r="D1" s="108"/>
      <c r="E1" s="46"/>
      <c r="F1" s="55" t="s">
        <v>51</v>
      </c>
      <c r="G1" s="46"/>
      <c r="H1" s="24"/>
      <c r="I1" s="24"/>
      <c r="J1" s="24"/>
      <c r="K1" s="13" t="s">
        <v>81</v>
      </c>
      <c r="L1" s="13"/>
      <c r="M1" s="24"/>
      <c r="P1" s="25"/>
    </row>
    <row r="2" spans="1:16" x14ac:dyDescent="0.2">
      <c r="A2" s="112" t="s">
        <v>79</v>
      </c>
      <c r="B2" s="112" t="s">
        <v>32</v>
      </c>
      <c r="C2" s="112" t="s">
        <v>134</v>
      </c>
      <c r="D2" s="113"/>
      <c r="E2" s="112" t="s">
        <v>33</v>
      </c>
      <c r="F2" s="112" t="s">
        <v>23</v>
      </c>
      <c r="G2" s="112" t="s">
        <v>24</v>
      </c>
      <c r="H2" s="112" t="s">
        <v>90</v>
      </c>
      <c r="I2" s="114"/>
      <c r="J2" s="114"/>
      <c r="K2" s="115">
        <v>44183</v>
      </c>
      <c r="L2" s="116"/>
      <c r="M2" s="107"/>
      <c r="P2" s="25"/>
    </row>
    <row r="3" spans="1:16" x14ac:dyDescent="0.2">
      <c r="A3" s="23">
        <v>2622.1</v>
      </c>
      <c r="B3" s="14"/>
      <c r="C3" s="14"/>
      <c r="D3" s="108"/>
      <c r="E3" s="14"/>
      <c r="F3" s="14"/>
      <c r="G3" s="14"/>
      <c r="H3" s="25"/>
      <c r="I3" s="24"/>
      <c r="J3" s="24"/>
      <c r="K3" s="25"/>
      <c r="L3" s="25"/>
      <c r="M3" s="107"/>
      <c r="N3" s="110"/>
      <c r="O3" s="111"/>
      <c r="P3" s="25"/>
    </row>
    <row r="4" spans="1:16" s="7" customFormat="1" x14ac:dyDescent="0.2">
      <c r="A4" s="100">
        <f>SUM(4440.2+A3)</f>
        <v>7062.2999999999993</v>
      </c>
      <c r="B4" s="101">
        <v>2013</v>
      </c>
      <c r="C4" s="101">
        <v>74</v>
      </c>
      <c r="D4" s="102"/>
      <c r="E4" s="109">
        <v>2362</v>
      </c>
      <c r="F4" s="27">
        <f>A4-3102</f>
        <v>3960.2999999999993</v>
      </c>
      <c r="G4" s="27">
        <f>F4-1317</f>
        <v>2643.2999999999993</v>
      </c>
      <c r="H4" s="117">
        <f>E4+(C4*1.22)+(B4*0.1)+(A3)</f>
        <v>5275.68</v>
      </c>
      <c r="I4" s="24"/>
      <c r="J4" s="24"/>
      <c r="K4" s="27"/>
      <c r="L4" s="27"/>
      <c r="M4" s="24"/>
      <c r="N4" s="104"/>
      <c r="O4" s="105"/>
      <c r="P4" s="25"/>
    </row>
    <row r="5" spans="1:16" s="7" customFormat="1" x14ac:dyDescent="0.2">
      <c r="A5" s="134" t="s">
        <v>276</v>
      </c>
      <c r="B5" s="131" t="s">
        <v>213</v>
      </c>
      <c r="C5" s="131" t="s">
        <v>214</v>
      </c>
      <c r="D5" s="135" t="s">
        <v>58</v>
      </c>
      <c r="E5" s="132" t="s">
        <v>275</v>
      </c>
      <c r="F5" s="133"/>
      <c r="G5" s="129"/>
      <c r="H5" s="130"/>
      <c r="I5" s="114"/>
      <c r="J5" s="114"/>
      <c r="K5" s="129"/>
      <c r="L5" s="129"/>
      <c r="M5" s="24"/>
      <c r="N5" s="104"/>
      <c r="O5" s="105"/>
      <c r="P5" s="25"/>
    </row>
    <row r="6" spans="1:16" x14ac:dyDescent="0.2">
      <c r="A6" s="13" t="s">
        <v>15</v>
      </c>
      <c r="B6" s="93" t="s">
        <v>147</v>
      </c>
      <c r="C6" s="14" t="s">
        <v>148</v>
      </c>
      <c r="D6" s="136">
        <v>44328</v>
      </c>
      <c r="E6" s="18"/>
      <c r="F6" s="23">
        <v>4893.7</v>
      </c>
      <c r="G6" s="23">
        <v>1791.7</v>
      </c>
      <c r="H6" s="14">
        <v>474.7</v>
      </c>
      <c r="I6" s="25"/>
      <c r="J6" s="25"/>
      <c r="K6" s="18"/>
      <c r="L6" s="23">
        <f>3000-H6+F6</f>
        <v>7419</v>
      </c>
      <c r="M6" s="25"/>
      <c r="N6" s="14"/>
      <c r="O6" s="106" t="s">
        <v>149</v>
      </c>
      <c r="P6" s="4" t="s">
        <v>149</v>
      </c>
    </row>
    <row r="7" spans="1:16" x14ac:dyDescent="0.2">
      <c r="A7" s="24" t="s">
        <v>43</v>
      </c>
      <c r="B7" s="39"/>
      <c r="C7" s="25"/>
      <c r="D7" s="136">
        <v>44328</v>
      </c>
      <c r="E7" s="26"/>
      <c r="F7" s="27">
        <v>6002.4</v>
      </c>
      <c r="G7" s="27">
        <v>2900.4</v>
      </c>
      <c r="H7" s="25">
        <v>1583.4</v>
      </c>
      <c r="I7" s="25"/>
      <c r="J7" s="25"/>
      <c r="K7" s="26"/>
      <c r="L7" s="27">
        <f>1200+F7</f>
        <v>7202.4</v>
      </c>
      <c r="M7" s="25"/>
      <c r="N7" s="25"/>
      <c r="O7" s="106" t="s">
        <v>149</v>
      </c>
      <c r="P7" s="12" t="s">
        <v>149</v>
      </c>
    </row>
    <row r="8" spans="1:16" x14ac:dyDescent="0.2">
      <c r="A8" s="100"/>
      <c r="B8" s="101"/>
      <c r="C8" s="101"/>
      <c r="D8" s="102"/>
      <c r="E8" s="103"/>
      <c r="F8" s="27"/>
      <c r="G8" s="27"/>
      <c r="H8" s="54"/>
      <c r="I8" s="24"/>
      <c r="J8" s="24"/>
      <c r="K8" s="27"/>
      <c r="L8" s="27"/>
      <c r="M8" s="24"/>
      <c r="N8" s="104"/>
      <c r="O8" s="105"/>
      <c r="P8" s="25"/>
    </row>
    <row r="9" spans="1:16" x14ac:dyDescent="0.2">
      <c r="A9" s="100"/>
      <c r="B9" s="101"/>
      <c r="C9" s="101"/>
      <c r="D9" s="102"/>
      <c r="E9" s="103"/>
      <c r="F9" s="142" t="s">
        <v>284</v>
      </c>
      <c r="G9" s="143"/>
      <c r="H9" s="54"/>
      <c r="I9" s="24"/>
      <c r="J9" s="24"/>
      <c r="K9" s="27"/>
      <c r="L9" s="27"/>
      <c r="M9" s="24"/>
      <c r="N9" s="104"/>
      <c r="O9" s="105"/>
      <c r="P9" s="25"/>
    </row>
    <row r="10" spans="1:16" x14ac:dyDescent="0.2">
      <c r="A10" s="90" t="s">
        <v>276</v>
      </c>
      <c r="B10" s="37" t="s">
        <v>213</v>
      </c>
      <c r="C10" s="90" t="s">
        <v>214</v>
      </c>
      <c r="D10" s="90" t="s">
        <v>58</v>
      </c>
      <c r="E10" s="97" t="s">
        <v>283</v>
      </c>
      <c r="F10" s="98" t="s">
        <v>23</v>
      </c>
      <c r="G10" s="98" t="s">
        <v>277</v>
      </c>
      <c r="H10" s="90" t="s">
        <v>215</v>
      </c>
      <c r="I10" s="90" t="s">
        <v>216</v>
      </c>
      <c r="J10" s="90" t="s">
        <v>267</v>
      </c>
      <c r="K10" s="99" t="s">
        <v>268</v>
      </c>
      <c r="L10" s="98" t="s">
        <v>217</v>
      </c>
      <c r="M10" s="90" t="s">
        <v>218</v>
      </c>
    </row>
    <row r="11" spans="1:16" x14ac:dyDescent="0.2">
      <c r="A11" s="96" t="s">
        <v>219</v>
      </c>
      <c r="B11" s="96" t="s">
        <v>220</v>
      </c>
      <c r="C11" s="121" t="s">
        <v>221</v>
      </c>
      <c r="D11" s="139">
        <v>44328</v>
      </c>
      <c r="E11" s="123"/>
      <c r="F11" s="10">
        <v>2643.3</v>
      </c>
      <c r="G11" s="10">
        <v>3851</v>
      </c>
      <c r="H11" s="10">
        <v>25000</v>
      </c>
      <c r="I11" s="10">
        <v>25000</v>
      </c>
      <c r="J11" s="10">
        <f t="shared" ref="J11:J23" si="0">SUM(F11+E11)</f>
        <v>2643.3</v>
      </c>
      <c r="K11" s="126">
        <f>SUM(G11+H4)</f>
        <v>9126.68</v>
      </c>
      <c r="L11" s="10">
        <f t="shared" ref="L11:L23" si="1">SUM(H11-J11)</f>
        <v>22356.7</v>
      </c>
      <c r="M11" s="126">
        <f t="shared" ref="M11:M23" si="2">SUM(I11-K11)</f>
        <v>15873.32</v>
      </c>
    </row>
    <row r="12" spans="1:16" s="7" customFormat="1" x14ac:dyDescent="0.2">
      <c r="A12" s="119" t="s">
        <v>278</v>
      </c>
      <c r="B12" s="120" t="s">
        <v>222</v>
      </c>
      <c r="C12" s="122" t="s">
        <v>223</v>
      </c>
      <c r="D12" s="140">
        <v>44328</v>
      </c>
      <c r="E12" s="125"/>
      <c r="F12" s="125">
        <v>7487.3</v>
      </c>
      <c r="G12" s="125">
        <v>8725</v>
      </c>
      <c r="H12" s="125">
        <v>12000</v>
      </c>
      <c r="I12" s="125">
        <v>16500</v>
      </c>
      <c r="J12" s="125">
        <f t="shared" si="0"/>
        <v>7487.3</v>
      </c>
      <c r="K12" s="127">
        <f>SUM(G12+H4)</f>
        <v>14000.68</v>
      </c>
      <c r="L12" s="125">
        <f t="shared" si="1"/>
        <v>4512.7</v>
      </c>
      <c r="M12" s="127">
        <f t="shared" si="2"/>
        <v>2499.3199999999997</v>
      </c>
    </row>
    <row r="13" spans="1:16" s="7" customFormat="1" x14ac:dyDescent="0.2">
      <c r="A13" s="118" t="s">
        <v>279</v>
      </c>
      <c r="B13" s="38" t="s">
        <v>280</v>
      </c>
      <c r="C13" s="123">
        <v>21365102774</v>
      </c>
      <c r="D13" s="141">
        <v>44328</v>
      </c>
      <c r="E13" s="123"/>
      <c r="F13" s="137">
        <v>2379</v>
      </c>
      <c r="G13" s="123">
        <v>3317.6</v>
      </c>
      <c r="H13" s="123">
        <v>15800</v>
      </c>
      <c r="I13" s="123">
        <v>14000</v>
      </c>
      <c r="J13" s="123">
        <f t="shared" si="0"/>
        <v>2379</v>
      </c>
      <c r="K13" s="128">
        <f>SUM(G13+H4)</f>
        <v>8593.2800000000007</v>
      </c>
      <c r="L13" s="123">
        <f t="shared" si="1"/>
        <v>13421</v>
      </c>
      <c r="M13" s="128">
        <f t="shared" si="2"/>
        <v>5406.7199999999993</v>
      </c>
    </row>
    <row r="14" spans="1:16" x14ac:dyDescent="0.2">
      <c r="A14" s="96" t="s">
        <v>281</v>
      </c>
      <c r="B14" s="37" t="s">
        <v>225</v>
      </c>
      <c r="C14" s="90" t="s">
        <v>226</v>
      </c>
      <c r="D14" s="139">
        <v>44328</v>
      </c>
      <c r="E14" s="10"/>
      <c r="F14" s="10">
        <v>3367.3</v>
      </c>
      <c r="G14" s="10">
        <v>4299.6000000000004</v>
      </c>
      <c r="H14" s="10">
        <v>25000</v>
      </c>
      <c r="I14" s="10">
        <v>25000</v>
      </c>
      <c r="J14" s="10">
        <f t="shared" si="0"/>
        <v>3367.3</v>
      </c>
      <c r="K14" s="126">
        <f>SUM(G14+H4)</f>
        <v>9575.2800000000007</v>
      </c>
      <c r="L14" s="10">
        <f t="shared" si="1"/>
        <v>21632.7</v>
      </c>
      <c r="M14" s="126">
        <f t="shared" si="2"/>
        <v>15424.72</v>
      </c>
    </row>
    <row r="15" spans="1:16" x14ac:dyDescent="0.2">
      <c r="A15" s="96" t="s">
        <v>227</v>
      </c>
      <c r="B15" s="37" t="s">
        <v>224</v>
      </c>
      <c r="C15" s="10">
        <v>5828</v>
      </c>
      <c r="D15" s="139">
        <v>44328</v>
      </c>
      <c r="E15" s="10"/>
      <c r="F15" s="10">
        <v>4968.2</v>
      </c>
      <c r="G15" s="10">
        <v>5900.6</v>
      </c>
      <c r="H15" s="10">
        <v>25000</v>
      </c>
      <c r="I15" s="10">
        <v>25000</v>
      </c>
      <c r="J15" s="10">
        <f t="shared" si="0"/>
        <v>4968.2</v>
      </c>
      <c r="K15" s="126">
        <f>SUM(G15+H4)</f>
        <v>11176.28</v>
      </c>
      <c r="L15" s="10">
        <f t="shared" si="1"/>
        <v>20031.8</v>
      </c>
      <c r="M15" s="126">
        <f t="shared" si="2"/>
        <v>13823.72</v>
      </c>
    </row>
    <row r="16" spans="1:16" x14ac:dyDescent="0.2">
      <c r="A16" s="119" t="s">
        <v>228</v>
      </c>
      <c r="B16" s="120" t="s">
        <v>229</v>
      </c>
      <c r="C16" s="124" t="s">
        <v>230</v>
      </c>
      <c r="D16" s="140">
        <v>44328</v>
      </c>
      <c r="E16" s="125"/>
      <c r="F16" s="125">
        <v>2168.6</v>
      </c>
      <c r="G16" s="125">
        <v>3230.9</v>
      </c>
      <c r="H16" s="125">
        <v>20800</v>
      </c>
      <c r="I16" s="125">
        <v>8330</v>
      </c>
      <c r="J16" s="125">
        <f t="shared" si="0"/>
        <v>2168.6</v>
      </c>
      <c r="K16" s="127">
        <f>SUM(G16+H4)</f>
        <v>8506.58</v>
      </c>
      <c r="L16" s="125">
        <f t="shared" si="1"/>
        <v>18631.400000000001</v>
      </c>
      <c r="M16" s="127">
        <f>8330-G16+H4</f>
        <v>10374.780000000001</v>
      </c>
    </row>
    <row r="17" spans="1:13" x14ac:dyDescent="0.2">
      <c r="A17" s="96" t="s">
        <v>231</v>
      </c>
      <c r="B17" s="37" t="s">
        <v>232</v>
      </c>
      <c r="C17" s="90" t="s">
        <v>233</v>
      </c>
      <c r="D17" s="139">
        <v>44328</v>
      </c>
      <c r="E17" s="10"/>
      <c r="F17" s="10">
        <v>2168.6</v>
      </c>
      <c r="G17" s="10">
        <v>3230.9</v>
      </c>
      <c r="H17" s="10">
        <v>25000</v>
      </c>
      <c r="I17" s="10">
        <v>16800</v>
      </c>
      <c r="J17" s="10">
        <f t="shared" si="0"/>
        <v>2168.6</v>
      </c>
      <c r="K17" s="126">
        <f>SUM(G17+H4)</f>
        <v>8506.58</v>
      </c>
      <c r="L17" s="10">
        <f t="shared" si="1"/>
        <v>22831.4</v>
      </c>
      <c r="M17" s="126">
        <f t="shared" si="2"/>
        <v>8293.42</v>
      </c>
    </row>
    <row r="18" spans="1:13" x14ac:dyDescent="0.2">
      <c r="A18" s="96" t="s">
        <v>234</v>
      </c>
      <c r="B18" s="37" t="s">
        <v>235</v>
      </c>
      <c r="C18" s="138">
        <v>6</v>
      </c>
      <c r="D18" s="139">
        <v>44328</v>
      </c>
      <c r="E18" s="123"/>
      <c r="F18" s="10">
        <v>2168.6</v>
      </c>
      <c r="G18" s="10">
        <v>3230.9</v>
      </c>
      <c r="H18" s="10">
        <v>25000</v>
      </c>
      <c r="I18" s="10">
        <v>25000</v>
      </c>
      <c r="J18" s="10">
        <f t="shared" si="0"/>
        <v>2168.6</v>
      </c>
      <c r="K18" s="126">
        <f>SUM(G18+H4)</f>
        <v>8506.58</v>
      </c>
      <c r="L18" s="10">
        <f t="shared" si="1"/>
        <v>22831.4</v>
      </c>
      <c r="M18" s="126">
        <f t="shared" si="2"/>
        <v>16493.419999999998</v>
      </c>
    </row>
    <row r="19" spans="1:13" x14ac:dyDescent="0.2">
      <c r="A19" s="96" t="s">
        <v>236</v>
      </c>
      <c r="B19" s="37" t="s">
        <v>237</v>
      </c>
      <c r="C19" s="90" t="s">
        <v>238</v>
      </c>
      <c r="D19" s="139">
        <v>44328</v>
      </c>
      <c r="E19" s="10"/>
      <c r="F19" s="10">
        <v>2168.6</v>
      </c>
      <c r="G19" s="10">
        <v>3230.9</v>
      </c>
      <c r="H19" s="10">
        <v>25000</v>
      </c>
      <c r="I19" s="10">
        <v>13600</v>
      </c>
      <c r="J19" s="10">
        <f t="shared" si="0"/>
        <v>2168.6</v>
      </c>
      <c r="K19" s="126">
        <f>SUM(G19+H4)</f>
        <v>8506.58</v>
      </c>
      <c r="L19" s="10">
        <f t="shared" si="1"/>
        <v>22831.4</v>
      </c>
      <c r="M19" s="126">
        <f t="shared" si="2"/>
        <v>5093.42</v>
      </c>
    </row>
    <row r="20" spans="1:13" x14ac:dyDescent="0.2">
      <c r="A20" s="96" t="s">
        <v>239</v>
      </c>
      <c r="B20" s="37" t="s">
        <v>240</v>
      </c>
      <c r="C20" s="90" t="s">
        <v>241</v>
      </c>
      <c r="D20" s="139">
        <v>44328</v>
      </c>
      <c r="E20" s="10"/>
      <c r="F20" s="10">
        <v>3367.3</v>
      </c>
      <c r="G20" s="10">
        <v>4317.1000000000004</v>
      </c>
      <c r="H20" s="10">
        <v>25000</v>
      </c>
      <c r="I20" s="10">
        <v>25000</v>
      </c>
      <c r="J20" s="10">
        <f t="shared" si="0"/>
        <v>3367.3</v>
      </c>
      <c r="K20" s="126">
        <f>SUM(G20+H4)</f>
        <v>9592.7800000000007</v>
      </c>
      <c r="L20" s="10">
        <f t="shared" si="1"/>
        <v>21632.7</v>
      </c>
      <c r="M20" s="126">
        <f t="shared" si="2"/>
        <v>15407.22</v>
      </c>
    </row>
    <row r="21" spans="1:13" x14ac:dyDescent="0.2">
      <c r="A21" s="119" t="s">
        <v>242</v>
      </c>
      <c r="B21" s="120" t="s">
        <v>243</v>
      </c>
      <c r="C21" s="124" t="s">
        <v>244</v>
      </c>
      <c r="D21" s="140">
        <v>44328</v>
      </c>
      <c r="E21" s="125"/>
      <c r="F21" s="125">
        <v>1060.0999999999999</v>
      </c>
      <c r="G21" s="125">
        <v>1812</v>
      </c>
      <c r="H21" s="125">
        <v>9000</v>
      </c>
      <c r="I21" s="125">
        <v>6000</v>
      </c>
      <c r="J21" s="125">
        <f t="shared" si="0"/>
        <v>1060.0999999999999</v>
      </c>
      <c r="K21" s="127">
        <f>SUM(G21+H4)</f>
        <v>7087.68</v>
      </c>
      <c r="L21" s="125">
        <f t="shared" si="1"/>
        <v>7939.9</v>
      </c>
      <c r="M21" s="127">
        <f t="shared" si="2"/>
        <v>-1087.6800000000003</v>
      </c>
    </row>
    <row r="22" spans="1:13" x14ac:dyDescent="0.2">
      <c r="A22" s="96" t="s">
        <v>282</v>
      </c>
      <c r="B22" s="37" t="s">
        <v>248</v>
      </c>
      <c r="C22" s="10">
        <v>113007</v>
      </c>
      <c r="D22" s="139">
        <v>44328</v>
      </c>
      <c r="E22" s="10"/>
      <c r="F22" s="10">
        <v>4664.3</v>
      </c>
      <c r="G22" s="10">
        <v>5148</v>
      </c>
      <c r="H22" s="10">
        <v>25000</v>
      </c>
      <c r="I22" s="10">
        <v>15000</v>
      </c>
      <c r="J22" s="10">
        <f t="shared" si="0"/>
        <v>4664.3</v>
      </c>
      <c r="K22" s="126">
        <f>SUM(G22+H4)</f>
        <v>10423.68</v>
      </c>
      <c r="L22" s="10">
        <f t="shared" si="1"/>
        <v>20335.7</v>
      </c>
      <c r="M22" s="126">
        <f t="shared" si="2"/>
        <v>4576.32</v>
      </c>
    </row>
    <row r="23" spans="1:13" x14ac:dyDescent="0.2">
      <c r="A23" s="119" t="s">
        <v>245</v>
      </c>
      <c r="B23" s="120" t="s">
        <v>249</v>
      </c>
      <c r="C23" s="124" t="s">
        <v>250</v>
      </c>
      <c r="D23" s="140">
        <v>44328</v>
      </c>
      <c r="E23" s="125"/>
      <c r="F23" s="125">
        <v>2643.3</v>
      </c>
      <c r="G23" s="125">
        <v>3851</v>
      </c>
      <c r="H23" s="125">
        <v>10800</v>
      </c>
      <c r="I23" s="125">
        <v>8000</v>
      </c>
      <c r="J23" s="125">
        <f t="shared" si="0"/>
        <v>2643.3</v>
      </c>
      <c r="K23" s="127">
        <f>SUM(G23+H4)</f>
        <v>9126.68</v>
      </c>
      <c r="L23" s="125">
        <f t="shared" si="1"/>
        <v>8156.7</v>
      </c>
      <c r="M23" s="127">
        <f t="shared" si="2"/>
        <v>-1126.6800000000003</v>
      </c>
    </row>
    <row r="24" spans="1:13" x14ac:dyDescent="0.2">
      <c r="A24" s="96" t="s">
        <v>251</v>
      </c>
      <c r="B24" s="37" t="s">
        <v>252</v>
      </c>
      <c r="C24" s="90" t="s">
        <v>253</v>
      </c>
      <c r="D24" s="10"/>
      <c r="E24" s="10"/>
      <c r="F24" s="10">
        <v>0</v>
      </c>
      <c r="G24" s="90" t="s">
        <v>149</v>
      </c>
      <c r="H24" s="10"/>
      <c r="I24" s="10"/>
      <c r="J24" s="10"/>
      <c r="K24" s="10"/>
      <c r="L24" s="10"/>
      <c r="M24" s="10"/>
    </row>
    <row r="25" spans="1:13" x14ac:dyDescent="0.2">
      <c r="A25" s="96" t="s">
        <v>254</v>
      </c>
      <c r="B25" s="37" t="s">
        <v>255</v>
      </c>
      <c r="C25" s="90" t="s">
        <v>256</v>
      </c>
      <c r="D25" s="10"/>
      <c r="E25" s="10"/>
      <c r="F25" s="10">
        <v>1108.5</v>
      </c>
      <c r="G25" s="10"/>
      <c r="H25" s="10"/>
      <c r="I25" s="10"/>
      <c r="J25" s="10"/>
      <c r="K25" s="10"/>
      <c r="L25" s="10"/>
      <c r="M25" s="10"/>
    </row>
    <row r="26" spans="1:13" x14ac:dyDescent="0.2">
      <c r="A26" s="96" t="s">
        <v>257</v>
      </c>
      <c r="B26" s="37" t="s">
        <v>255</v>
      </c>
      <c r="C26" s="90" t="s">
        <v>258</v>
      </c>
      <c r="D26" s="10"/>
      <c r="E26" s="10"/>
      <c r="F26" s="10">
        <v>1108.5</v>
      </c>
      <c r="G26" s="10"/>
      <c r="H26" s="10"/>
      <c r="I26" s="10"/>
      <c r="J26" s="10"/>
      <c r="K26" s="10"/>
      <c r="L26" s="10"/>
      <c r="M26" s="10"/>
    </row>
    <row r="27" spans="1:13" x14ac:dyDescent="0.2">
      <c r="A27" s="96" t="s">
        <v>259</v>
      </c>
      <c r="B27" s="37" t="s">
        <v>252</v>
      </c>
      <c r="C27" s="90" t="s">
        <v>260</v>
      </c>
      <c r="D27" s="10"/>
      <c r="E27" s="10"/>
      <c r="F27" s="10">
        <v>0</v>
      </c>
      <c r="G27" s="10"/>
      <c r="H27" s="10"/>
      <c r="I27" s="10"/>
      <c r="J27" s="10"/>
      <c r="K27" s="10"/>
      <c r="L27" s="10"/>
      <c r="M27" s="10"/>
    </row>
    <row r="28" spans="1:13" x14ac:dyDescent="0.2">
      <c r="A28" s="96" t="s">
        <v>261</v>
      </c>
      <c r="B28" s="37" t="s">
        <v>262</v>
      </c>
      <c r="C28" s="10">
        <v>62474</v>
      </c>
      <c r="D28" s="10"/>
      <c r="E28" s="10"/>
      <c r="G28" s="10"/>
      <c r="H28" s="10"/>
      <c r="I28" s="10"/>
      <c r="J28" s="10"/>
      <c r="K28" s="10"/>
      <c r="L28" s="10"/>
      <c r="M28" s="10"/>
    </row>
    <row r="29" spans="1:13" x14ac:dyDescent="0.2">
      <c r="A29" s="96" t="s">
        <v>246</v>
      </c>
      <c r="B29" s="37" t="s">
        <v>263</v>
      </c>
      <c r="C29" s="90" t="s">
        <v>264</v>
      </c>
      <c r="D29" s="10"/>
      <c r="E29" s="10">
        <v>1147</v>
      </c>
      <c r="F29" s="90" t="s">
        <v>125</v>
      </c>
      <c r="G29" s="10"/>
      <c r="H29" s="10"/>
      <c r="I29" s="10"/>
      <c r="J29" s="10"/>
      <c r="K29" s="10"/>
      <c r="L29" s="10"/>
      <c r="M29" s="10"/>
    </row>
    <row r="30" spans="1:13" x14ac:dyDescent="0.2">
      <c r="A30" s="96" t="s">
        <v>247</v>
      </c>
      <c r="B30" s="37" t="s">
        <v>265</v>
      </c>
      <c r="C30" s="90" t="s">
        <v>266</v>
      </c>
      <c r="D30" s="10"/>
      <c r="E30" s="10">
        <v>1500</v>
      </c>
      <c r="G30" s="10"/>
      <c r="H30" s="10"/>
      <c r="I30" s="10"/>
      <c r="J30" s="10"/>
      <c r="K30" s="10"/>
      <c r="L30" s="10"/>
      <c r="M30" s="10"/>
    </row>
    <row r="31" spans="1:13" x14ac:dyDescent="0.2">
      <c r="K31" s="10"/>
    </row>
  </sheetData>
  <mergeCells count="1">
    <mergeCell ref="F9:G9"/>
  </mergeCells>
  <phoneticPr fontId="0" type="noConversion"/>
  <conditionalFormatting sqref="O6:O7">
    <cfRule type="cellIs" dxfId="0" priority="1" operator="lessThan">
      <formula>100</formula>
    </cfRule>
  </conditionalFormatting>
  <pageMargins left="0.75" right="0.75" top="1" bottom="1" header="0.5" footer="0.5"/>
  <pageSetup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Page 1</vt:lpstr>
      <vt:lpstr>Cost</vt:lpstr>
      <vt:lpstr>Engine</vt:lpstr>
      <vt:lpstr>Chart1</vt:lpstr>
      <vt:lpstr>'Page 1'!Print_Area</vt:lpstr>
      <vt:lpstr>'Page 1'!Print_Titles</vt:lpstr>
    </vt:vector>
  </TitlesOfParts>
  <Company>Grim Logging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Davis.</dc:creator>
  <cp:lastModifiedBy>Hanger House</cp:lastModifiedBy>
  <cp:lastPrinted>2021-08-03T17:33:16Z</cp:lastPrinted>
  <dcterms:created xsi:type="dcterms:W3CDTF">1999-11-18T22:58:53Z</dcterms:created>
  <dcterms:modified xsi:type="dcterms:W3CDTF">2021-09-28T17:42:09Z</dcterms:modified>
</cp:coreProperties>
</file>